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ESK\Desktop\10 SEMESTRE\INGENIERIA ECONOMICA\ENTREGA FINAL\"/>
    </mc:Choice>
  </mc:AlternateContent>
  <xr:revisionPtr revIDLastSave="0" documentId="8_{5EBB193B-39BA-4EFB-AC3F-720372B92A5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.FLUJO CAJA" sheetId="18" r:id="rId1"/>
    <sheet name="Introducción" sheetId="1" r:id="rId2"/>
    <sheet name="Productos" sheetId="2" r:id="rId3"/>
    <sheet name="Ventas" sheetId="3" r:id="rId4"/>
    <sheet name="Produccion" sheetId="4" r:id="rId5"/>
    <sheet name="Compras" sheetId="5" r:id="rId6"/>
    <sheet name="Consumos" sheetId="6" r:id="rId7"/>
    <sheet name="Gastos" sheetId="7" r:id="rId8"/>
    <sheet name="Cobranzas" sheetId="8" r:id="rId9"/>
    <sheet name="Pagos" sheetId="9" r:id="rId10"/>
    <sheet name="Inversiones" sheetId="10" r:id="rId11"/>
    <sheet name="PRESTAMO" sheetId="11" r:id="rId12"/>
    <sheet name="Resultado" sheetId="12" r:id="rId13"/>
    <sheet name="Equilibrio" sheetId="13" r:id="rId14"/>
    <sheet name="Flujo" sheetId="14" r:id="rId15"/>
    <sheet name="5_años" sheetId="15" r:id="rId16"/>
    <sheet name="Evaluacion" sheetId="16" r:id="rId17"/>
    <sheet name="Balance" sheetId="17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8" l="1"/>
  <c r="B13" i="18"/>
  <c r="B15" i="18"/>
  <c r="B19" i="18" s="1"/>
  <c r="B14" i="18"/>
  <c r="D1" i="17" l="1"/>
  <c r="G5" i="16"/>
  <c r="F5" i="16"/>
  <c r="E5" i="16"/>
  <c r="D5" i="16"/>
  <c r="C5" i="16"/>
  <c r="B5" i="16" s="1"/>
  <c r="F1" i="16"/>
  <c r="B26" i="15"/>
  <c r="B20" i="15"/>
  <c r="F8" i="15"/>
  <c r="E8" i="15"/>
  <c r="D8" i="15"/>
  <c r="C8" i="15"/>
  <c r="F3" i="15"/>
  <c r="E3" i="15"/>
  <c r="D3" i="15"/>
  <c r="C3" i="15"/>
  <c r="B3" i="15"/>
  <c r="E1" i="15"/>
  <c r="B33" i="14"/>
  <c r="E15" i="17" s="1"/>
  <c r="B29" i="14"/>
  <c r="N27" i="14"/>
  <c r="B27" i="14"/>
  <c r="B14" i="14"/>
  <c r="C12" i="14"/>
  <c r="M11" i="14"/>
  <c r="L11" i="14"/>
  <c r="K11" i="14"/>
  <c r="J11" i="14"/>
  <c r="I11" i="14"/>
  <c r="H11" i="14"/>
  <c r="G11" i="14"/>
  <c r="F11" i="14"/>
  <c r="E11" i="14"/>
  <c r="D11" i="14"/>
  <c r="C11" i="14"/>
  <c r="N11" i="14" s="1"/>
  <c r="M10" i="14"/>
  <c r="L10" i="14"/>
  <c r="K10" i="14"/>
  <c r="J10" i="14"/>
  <c r="I10" i="14"/>
  <c r="H10" i="14"/>
  <c r="G10" i="14"/>
  <c r="F10" i="14"/>
  <c r="E10" i="14"/>
  <c r="D10" i="14"/>
  <c r="C10" i="14"/>
  <c r="M9" i="14"/>
  <c r="L9" i="14"/>
  <c r="K9" i="14"/>
  <c r="J9" i="14"/>
  <c r="I9" i="14"/>
  <c r="H9" i="14"/>
  <c r="G9" i="14"/>
  <c r="F9" i="14"/>
  <c r="E9" i="14"/>
  <c r="D9" i="14"/>
  <c r="C9" i="14"/>
  <c r="M3" i="14"/>
  <c r="L3" i="14"/>
  <c r="K3" i="14"/>
  <c r="J3" i="14"/>
  <c r="I3" i="14"/>
  <c r="H3" i="14"/>
  <c r="G3" i="14"/>
  <c r="F3" i="14"/>
  <c r="E3" i="14"/>
  <c r="D3" i="14"/>
  <c r="C3" i="14"/>
  <c r="B3" i="14"/>
  <c r="K1" i="14"/>
  <c r="F1" i="13"/>
  <c r="A19" i="12"/>
  <c r="F18" i="12"/>
  <c r="E18" i="12"/>
  <c r="D18" i="12"/>
  <c r="C18" i="12"/>
  <c r="A18" i="12"/>
  <c r="F17" i="12"/>
  <c r="E17" i="12"/>
  <c r="D17" i="12"/>
  <c r="C17" i="12"/>
  <c r="A17" i="12"/>
  <c r="F16" i="12"/>
  <c r="E16" i="12"/>
  <c r="D16" i="12"/>
  <c r="C16" i="12"/>
  <c r="A16" i="12"/>
  <c r="A15" i="12"/>
  <c r="A14" i="12"/>
  <c r="A13" i="12"/>
  <c r="B12" i="12"/>
  <c r="A12" i="12"/>
  <c r="A11" i="12"/>
  <c r="A10" i="12"/>
  <c r="A9" i="12"/>
  <c r="F3" i="12"/>
  <c r="E3" i="12"/>
  <c r="D3" i="12"/>
  <c r="C3" i="12"/>
  <c r="B3" i="12"/>
  <c r="D1" i="12"/>
  <c r="E20" i="11"/>
  <c r="E18" i="11"/>
  <c r="H18" i="11" s="1"/>
  <c r="K28" i="14" s="1"/>
  <c r="K29" i="14" s="1"/>
  <c r="E17" i="11"/>
  <c r="H17" i="11" s="1"/>
  <c r="J28" i="14" s="1"/>
  <c r="J29" i="14" s="1"/>
  <c r="C15" i="11"/>
  <c r="C11" i="11"/>
  <c r="B11" i="1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E10" i="11"/>
  <c r="D10" i="11"/>
  <c r="C10" i="11"/>
  <c r="F9" i="11"/>
  <c r="F10" i="11" s="1"/>
  <c r="F11" i="11" s="1"/>
  <c r="G5" i="11"/>
  <c r="A2" i="11"/>
  <c r="C24" i="10"/>
  <c r="K23" i="10"/>
  <c r="J23" i="10"/>
  <c r="I23" i="10"/>
  <c r="H23" i="10"/>
  <c r="G23" i="10"/>
  <c r="F23" i="10"/>
  <c r="E23" i="10"/>
  <c r="K22" i="10"/>
  <c r="J22" i="10"/>
  <c r="I22" i="10"/>
  <c r="H22" i="10"/>
  <c r="G22" i="10"/>
  <c r="F22" i="10"/>
  <c r="E22" i="10"/>
  <c r="K21" i="10"/>
  <c r="J21" i="10"/>
  <c r="I21" i="10"/>
  <c r="H21" i="10"/>
  <c r="G21" i="10"/>
  <c r="F21" i="10"/>
  <c r="E21" i="10"/>
  <c r="K20" i="10"/>
  <c r="J20" i="10"/>
  <c r="I20" i="10"/>
  <c r="H20" i="10"/>
  <c r="G20" i="10"/>
  <c r="F20" i="10"/>
  <c r="E20" i="10"/>
  <c r="K19" i="10"/>
  <c r="J19" i="10"/>
  <c r="I19" i="10"/>
  <c r="H19" i="10"/>
  <c r="G19" i="10"/>
  <c r="F19" i="10"/>
  <c r="E19" i="10"/>
  <c r="K18" i="10"/>
  <c r="J18" i="10"/>
  <c r="I18" i="10"/>
  <c r="H18" i="10"/>
  <c r="G18" i="10"/>
  <c r="F18" i="10"/>
  <c r="E18" i="10"/>
  <c r="K17" i="10"/>
  <c r="J17" i="10"/>
  <c r="I17" i="10"/>
  <c r="H17" i="10"/>
  <c r="G17" i="10"/>
  <c r="F17" i="10"/>
  <c r="E17" i="10"/>
  <c r="K16" i="10"/>
  <c r="J16" i="10"/>
  <c r="I16" i="10"/>
  <c r="H16" i="10"/>
  <c r="G16" i="10"/>
  <c r="F16" i="10"/>
  <c r="E16" i="10"/>
  <c r="K15" i="10"/>
  <c r="J15" i="10"/>
  <c r="I15" i="10"/>
  <c r="H15" i="10"/>
  <c r="G15" i="10"/>
  <c r="F15" i="10"/>
  <c r="E15" i="10"/>
  <c r="K14" i="10"/>
  <c r="J14" i="10"/>
  <c r="I14" i="10"/>
  <c r="H14" i="10"/>
  <c r="G14" i="10"/>
  <c r="F14" i="10"/>
  <c r="E14" i="10"/>
  <c r="K13" i="10"/>
  <c r="J13" i="10"/>
  <c r="I13" i="10"/>
  <c r="H13" i="10"/>
  <c r="G13" i="10"/>
  <c r="F13" i="10"/>
  <c r="E13" i="10"/>
  <c r="K12" i="10"/>
  <c r="J12" i="10"/>
  <c r="I12" i="10"/>
  <c r="H12" i="10"/>
  <c r="G12" i="10"/>
  <c r="F12" i="10"/>
  <c r="E12" i="10"/>
  <c r="K11" i="10"/>
  <c r="J11" i="10"/>
  <c r="I11" i="10"/>
  <c r="H11" i="10"/>
  <c r="G11" i="10"/>
  <c r="F11" i="10"/>
  <c r="E11" i="10"/>
  <c r="K10" i="10"/>
  <c r="J10" i="10"/>
  <c r="I10" i="10"/>
  <c r="H10" i="10"/>
  <c r="G10" i="10"/>
  <c r="F10" i="10"/>
  <c r="E10" i="10"/>
  <c r="K9" i="10"/>
  <c r="J9" i="10"/>
  <c r="I9" i="10"/>
  <c r="H9" i="10"/>
  <c r="G9" i="10"/>
  <c r="F9" i="10"/>
  <c r="E9" i="10"/>
  <c r="K8" i="10"/>
  <c r="J8" i="10"/>
  <c r="I8" i="10"/>
  <c r="H8" i="10"/>
  <c r="G8" i="10"/>
  <c r="F8" i="10"/>
  <c r="E8" i="10"/>
  <c r="K7" i="10"/>
  <c r="J7" i="10"/>
  <c r="I7" i="10"/>
  <c r="H7" i="10"/>
  <c r="G7" i="10"/>
  <c r="F7" i="10"/>
  <c r="E7" i="10"/>
  <c r="K6" i="10"/>
  <c r="J6" i="10"/>
  <c r="I6" i="10"/>
  <c r="H6" i="10"/>
  <c r="G6" i="10"/>
  <c r="F6" i="10"/>
  <c r="E6" i="10"/>
  <c r="J5" i="10"/>
  <c r="G5" i="10"/>
  <c r="F5" i="10"/>
  <c r="E5" i="10"/>
  <c r="K5" i="10" s="1"/>
  <c r="H4" i="10"/>
  <c r="E4" i="10"/>
  <c r="E24" i="10" s="1"/>
  <c r="B1" i="10"/>
  <c r="A15" i="9"/>
  <c r="N5" i="9"/>
  <c r="M5" i="9"/>
  <c r="L5" i="9"/>
  <c r="K5" i="9"/>
  <c r="J5" i="9"/>
  <c r="I5" i="9"/>
  <c r="H5" i="9"/>
  <c r="G5" i="9"/>
  <c r="F5" i="9"/>
  <c r="E5" i="9"/>
  <c r="D5" i="9"/>
  <c r="C5" i="9"/>
  <c r="L1" i="9"/>
  <c r="A15" i="8"/>
  <c r="N5" i="8"/>
  <c r="M5" i="8"/>
  <c r="L5" i="8"/>
  <c r="K5" i="8"/>
  <c r="J5" i="8"/>
  <c r="I5" i="8"/>
  <c r="H5" i="8"/>
  <c r="G5" i="8"/>
  <c r="F5" i="8"/>
  <c r="E5" i="8"/>
  <c r="D5" i="8"/>
  <c r="C5" i="8"/>
  <c r="L1" i="8"/>
  <c r="C54" i="7"/>
  <c r="B18" i="12" s="1"/>
  <c r="B54" i="7"/>
  <c r="B53" i="7"/>
  <c r="B52" i="7"/>
  <c r="D51" i="7"/>
  <c r="B51" i="7"/>
  <c r="B50" i="7"/>
  <c r="B49" i="7"/>
  <c r="D48" i="7"/>
  <c r="B48" i="7"/>
  <c r="G44" i="7"/>
  <c r="F44" i="7"/>
  <c r="E44" i="7"/>
  <c r="D44" i="7"/>
  <c r="C44" i="7"/>
  <c r="O40" i="7"/>
  <c r="O39" i="7"/>
  <c r="C53" i="7" s="1"/>
  <c r="B17" i="12" s="1"/>
  <c r="O38" i="7"/>
  <c r="C52" i="7" s="1"/>
  <c r="B16" i="12" s="1"/>
  <c r="O37" i="7"/>
  <c r="C51" i="7" s="1"/>
  <c r="B15" i="12" s="1"/>
  <c r="O35" i="7"/>
  <c r="C49" i="7" s="1"/>
  <c r="O34" i="7"/>
  <c r="C48" i="7" s="1"/>
  <c r="N33" i="7"/>
  <c r="M33" i="7"/>
  <c r="L33" i="7"/>
  <c r="L13" i="14" s="1"/>
  <c r="K33" i="7"/>
  <c r="J33" i="7"/>
  <c r="J13" i="14" s="1"/>
  <c r="I33" i="7"/>
  <c r="H33" i="7"/>
  <c r="G33" i="7"/>
  <c r="F33" i="7"/>
  <c r="F13" i="14" s="1"/>
  <c r="E33" i="7"/>
  <c r="E13" i="14" s="1"/>
  <c r="D33" i="7"/>
  <c r="D13" i="14" s="1"/>
  <c r="C33" i="7"/>
  <c r="O32" i="7"/>
  <c r="C46" i="7" s="1"/>
  <c r="O31" i="7"/>
  <c r="N30" i="7"/>
  <c r="M30" i="7"/>
  <c r="L30" i="7"/>
  <c r="K30" i="7"/>
  <c r="J30" i="7"/>
  <c r="I30" i="7"/>
  <c r="H30" i="7"/>
  <c r="G30" i="7"/>
  <c r="F30" i="7"/>
  <c r="E30" i="7"/>
  <c r="D30" i="7"/>
  <c r="C30" i="7"/>
  <c r="B27" i="7"/>
  <c r="B26" i="7"/>
  <c r="C25" i="7"/>
  <c r="B25" i="7"/>
  <c r="B24" i="7"/>
  <c r="B23" i="7"/>
  <c r="C22" i="7"/>
  <c r="B22" i="7"/>
  <c r="B21" i="7"/>
  <c r="G20" i="7"/>
  <c r="F20" i="7"/>
  <c r="E20" i="7"/>
  <c r="D20" i="7"/>
  <c r="B20" i="7"/>
  <c r="B19" i="7"/>
  <c r="B18" i="7"/>
  <c r="G17" i="7"/>
  <c r="F17" i="7"/>
  <c r="E17" i="7"/>
  <c r="D17" i="7"/>
  <c r="C17" i="7"/>
  <c r="O12" i="7"/>
  <c r="C26" i="7" s="1"/>
  <c r="O11" i="7"/>
  <c r="O10" i="7"/>
  <c r="C24" i="7" s="1"/>
  <c r="O9" i="7"/>
  <c r="C23" i="7" s="1"/>
  <c r="O8" i="7"/>
  <c r="O7" i="7"/>
  <c r="C21" i="7" s="1"/>
  <c r="N6" i="7"/>
  <c r="M6" i="7"/>
  <c r="M12" i="14" s="1"/>
  <c r="L6" i="7"/>
  <c r="L12" i="14" s="1"/>
  <c r="K6" i="7"/>
  <c r="K12" i="14" s="1"/>
  <c r="J6" i="7"/>
  <c r="J12" i="14" s="1"/>
  <c r="J14" i="14" s="1"/>
  <c r="I6" i="7"/>
  <c r="I12" i="14" s="1"/>
  <c r="H6" i="7"/>
  <c r="H12" i="14" s="1"/>
  <c r="G6" i="7"/>
  <c r="G12" i="14" s="1"/>
  <c r="F6" i="7"/>
  <c r="F12" i="14" s="1"/>
  <c r="E6" i="7"/>
  <c r="E12" i="14" s="1"/>
  <c r="D6" i="7"/>
  <c r="D12" i="14" s="1"/>
  <c r="D14" i="14" s="1"/>
  <c r="C6" i="7"/>
  <c r="O5" i="7"/>
  <c r="C19" i="7" s="1"/>
  <c r="N3" i="7"/>
  <c r="M3" i="7"/>
  <c r="L3" i="7"/>
  <c r="K3" i="7"/>
  <c r="J3" i="7"/>
  <c r="I3" i="7"/>
  <c r="H3" i="7"/>
  <c r="G3" i="7"/>
  <c r="F3" i="7"/>
  <c r="E3" i="7"/>
  <c r="D3" i="7"/>
  <c r="C3" i="7"/>
  <c r="L1" i="7"/>
  <c r="B108" i="6"/>
  <c r="B107" i="6"/>
  <c r="B106" i="6"/>
  <c r="B105" i="6"/>
  <c r="B104" i="6"/>
  <c r="J103" i="6"/>
  <c r="H103" i="6"/>
  <c r="G103" i="6"/>
  <c r="C99" i="6"/>
  <c r="B99" i="6"/>
  <c r="C98" i="6"/>
  <c r="B98" i="6"/>
  <c r="B46" i="5" s="1"/>
  <c r="C97" i="6"/>
  <c r="B97" i="6"/>
  <c r="C96" i="6"/>
  <c r="B96" i="6"/>
  <c r="C95" i="6"/>
  <c r="B95" i="6"/>
  <c r="O94" i="6"/>
  <c r="O103" i="6" s="1"/>
  <c r="N94" i="6"/>
  <c r="N103" i="6" s="1"/>
  <c r="M94" i="6"/>
  <c r="M103" i="6" s="1"/>
  <c r="L94" i="6"/>
  <c r="L103" i="6" s="1"/>
  <c r="K94" i="6"/>
  <c r="J94" i="6"/>
  <c r="I94" i="6"/>
  <c r="I103" i="6" s="1"/>
  <c r="H94" i="6"/>
  <c r="G94" i="6"/>
  <c r="F94" i="6"/>
  <c r="F103" i="6" s="1"/>
  <c r="E94" i="6"/>
  <c r="D94" i="6"/>
  <c r="D103" i="6" s="1"/>
  <c r="B88" i="6"/>
  <c r="D87" i="6"/>
  <c r="B87" i="6"/>
  <c r="A87" i="6"/>
  <c r="B86" i="6"/>
  <c r="A86" i="6"/>
  <c r="B85" i="6"/>
  <c r="A85" i="6"/>
  <c r="L84" i="6"/>
  <c r="F84" i="6"/>
  <c r="B84" i="6"/>
  <c r="A84" i="6"/>
  <c r="B83" i="6"/>
  <c r="A83" i="6"/>
  <c r="B82" i="6"/>
  <c r="A82" i="6"/>
  <c r="B81" i="6"/>
  <c r="A81" i="6"/>
  <c r="B80" i="6"/>
  <c r="A80" i="6"/>
  <c r="C79" i="6"/>
  <c r="B79" i="6"/>
  <c r="A79" i="6"/>
  <c r="B78" i="6"/>
  <c r="A78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B74" i="6"/>
  <c r="B73" i="6"/>
  <c r="A73" i="6"/>
  <c r="B72" i="6"/>
  <c r="A72" i="6"/>
  <c r="E71" i="6"/>
  <c r="B71" i="6"/>
  <c r="A71" i="6"/>
  <c r="B70" i="6"/>
  <c r="A70" i="6"/>
  <c r="B69" i="6"/>
  <c r="A69" i="6"/>
  <c r="B68" i="6"/>
  <c r="A68" i="6"/>
  <c r="B67" i="6"/>
  <c r="A67" i="6"/>
  <c r="N66" i="6"/>
  <c r="B66" i="6"/>
  <c r="A66" i="6"/>
  <c r="B65" i="6"/>
  <c r="A65" i="6"/>
  <c r="B64" i="6"/>
  <c r="A64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B60" i="6"/>
  <c r="B59" i="6"/>
  <c r="A59" i="6"/>
  <c r="F58" i="6"/>
  <c r="B58" i="6"/>
  <c r="A58" i="6"/>
  <c r="I57" i="6"/>
  <c r="B57" i="6"/>
  <c r="A57" i="6"/>
  <c r="B56" i="6"/>
  <c r="A56" i="6"/>
  <c r="B55" i="6"/>
  <c r="A55" i="6"/>
  <c r="F54" i="6"/>
  <c r="B54" i="6"/>
  <c r="A54" i="6"/>
  <c r="I53" i="6"/>
  <c r="B53" i="6"/>
  <c r="A53" i="6"/>
  <c r="B52" i="6"/>
  <c r="A52" i="6"/>
  <c r="B51" i="6"/>
  <c r="A51" i="6"/>
  <c r="F50" i="6"/>
  <c r="B50" i="6"/>
  <c r="A50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B46" i="6"/>
  <c r="K45" i="6"/>
  <c r="G45" i="6"/>
  <c r="B45" i="6"/>
  <c r="A45" i="6"/>
  <c r="H44" i="6"/>
  <c r="B44" i="6"/>
  <c r="A44" i="6"/>
  <c r="K43" i="6"/>
  <c r="G43" i="6"/>
  <c r="B43" i="6"/>
  <c r="A43" i="6"/>
  <c r="H42" i="6"/>
  <c r="B42" i="6"/>
  <c r="A42" i="6"/>
  <c r="K41" i="6"/>
  <c r="G41" i="6"/>
  <c r="B41" i="6"/>
  <c r="A41" i="6"/>
  <c r="H40" i="6"/>
  <c r="B40" i="6"/>
  <c r="A40" i="6"/>
  <c r="K39" i="6"/>
  <c r="G39" i="6"/>
  <c r="B39" i="6"/>
  <c r="A39" i="6"/>
  <c r="H38" i="6"/>
  <c r="B38" i="6"/>
  <c r="A38" i="6"/>
  <c r="K37" i="6"/>
  <c r="G37" i="6"/>
  <c r="B37" i="6"/>
  <c r="A37" i="6"/>
  <c r="H36" i="6"/>
  <c r="B36" i="6"/>
  <c r="A36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B32" i="6"/>
  <c r="J31" i="6"/>
  <c r="H31" i="6"/>
  <c r="B31" i="6"/>
  <c r="A31" i="6"/>
  <c r="K30" i="6"/>
  <c r="G30" i="6"/>
  <c r="B30" i="6"/>
  <c r="A30" i="6"/>
  <c r="H29" i="6"/>
  <c r="B29" i="6"/>
  <c r="A29" i="6"/>
  <c r="K28" i="6"/>
  <c r="G28" i="6"/>
  <c r="B28" i="6"/>
  <c r="A28" i="6"/>
  <c r="J27" i="6"/>
  <c r="H27" i="6"/>
  <c r="B27" i="6"/>
  <c r="A27" i="6"/>
  <c r="K26" i="6"/>
  <c r="G26" i="6"/>
  <c r="B26" i="6"/>
  <c r="A26" i="6"/>
  <c r="J25" i="6"/>
  <c r="H25" i="6"/>
  <c r="B25" i="6"/>
  <c r="A25" i="6"/>
  <c r="K24" i="6"/>
  <c r="G24" i="6"/>
  <c r="B24" i="6"/>
  <c r="A24" i="6"/>
  <c r="H23" i="6"/>
  <c r="B23" i="6"/>
  <c r="A23" i="6"/>
  <c r="K22" i="6"/>
  <c r="G22" i="6"/>
  <c r="B22" i="6"/>
  <c r="A22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H17" i="6"/>
  <c r="G17" i="6"/>
  <c r="F17" i="6"/>
  <c r="E17" i="6"/>
  <c r="D17" i="6"/>
  <c r="C17" i="6"/>
  <c r="B17" i="6"/>
  <c r="H16" i="6"/>
  <c r="G16" i="6"/>
  <c r="F16" i="6"/>
  <c r="E16" i="6"/>
  <c r="D16" i="6"/>
  <c r="C16" i="6"/>
  <c r="B16" i="6"/>
  <c r="H15" i="6"/>
  <c r="G15" i="6"/>
  <c r="F15" i="6"/>
  <c r="E15" i="6"/>
  <c r="D15" i="6"/>
  <c r="J29" i="6" s="1"/>
  <c r="C15" i="6"/>
  <c r="B15" i="6"/>
  <c r="H14" i="6"/>
  <c r="G14" i="6"/>
  <c r="F14" i="6"/>
  <c r="E14" i="6"/>
  <c r="D14" i="6"/>
  <c r="C14" i="6"/>
  <c r="B14" i="6"/>
  <c r="H13" i="6"/>
  <c r="G13" i="6"/>
  <c r="F13" i="6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F11" i="6"/>
  <c r="E11" i="6"/>
  <c r="D11" i="6"/>
  <c r="C11" i="6"/>
  <c r="B11" i="6"/>
  <c r="H10" i="6"/>
  <c r="G10" i="6"/>
  <c r="F10" i="6"/>
  <c r="E10" i="6"/>
  <c r="D10" i="6"/>
  <c r="C10" i="6"/>
  <c r="B10" i="6"/>
  <c r="H9" i="6"/>
  <c r="G9" i="6"/>
  <c r="F9" i="6"/>
  <c r="E9" i="6"/>
  <c r="D9" i="6"/>
  <c r="J23" i="6" s="1"/>
  <c r="C9" i="6"/>
  <c r="B9" i="6"/>
  <c r="H8" i="6"/>
  <c r="G8" i="6"/>
  <c r="F8" i="6"/>
  <c r="E8" i="6"/>
  <c r="D8" i="6"/>
  <c r="C8" i="6"/>
  <c r="B8" i="6"/>
  <c r="F1" i="6"/>
  <c r="E63" i="5"/>
  <c r="E62" i="5"/>
  <c r="E61" i="5"/>
  <c r="C61" i="5"/>
  <c r="E60" i="5"/>
  <c r="C60" i="5"/>
  <c r="E59" i="5"/>
  <c r="C59" i="5"/>
  <c r="B59" i="5"/>
  <c r="C55" i="5"/>
  <c r="B53" i="5"/>
  <c r="C52" i="5"/>
  <c r="C53" i="5" s="1"/>
  <c r="C54" i="5" s="1"/>
  <c r="O51" i="5"/>
  <c r="N51" i="5"/>
  <c r="I51" i="5"/>
  <c r="B51" i="5"/>
  <c r="O44" i="5"/>
  <c r="N44" i="5"/>
  <c r="M44" i="5"/>
  <c r="M51" i="5" s="1"/>
  <c r="L44" i="5"/>
  <c r="L51" i="5" s="1"/>
  <c r="J44" i="5"/>
  <c r="J51" i="5" s="1"/>
  <c r="I44" i="5"/>
  <c r="H44" i="5"/>
  <c r="H51" i="5" s="1"/>
  <c r="G44" i="5"/>
  <c r="G51" i="5" s="1"/>
  <c r="F44" i="5"/>
  <c r="F51" i="5" s="1"/>
  <c r="D44" i="5"/>
  <c r="D51" i="5" s="1"/>
  <c r="B44" i="5"/>
  <c r="B39" i="5"/>
  <c r="C38" i="5"/>
  <c r="C39" i="5" s="1"/>
  <c r="C40" i="5" s="1"/>
  <c r="C41" i="5" s="1"/>
  <c r="O37" i="5"/>
  <c r="N37" i="5"/>
  <c r="M37" i="5"/>
  <c r="L37" i="5"/>
  <c r="J37" i="5"/>
  <c r="I37" i="5"/>
  <c r="H37" i="5"/>
  <c r="G37" i="5"/>
  <c r="F37" i="5"/>
  <c r="D37" i="5"/>
  <c r="B37" i="5"/>
  <c r="B32" i="5"/>
  <c r="C31" i="5"/>
  <c r="C32" i="5" s="1"/>
  <c r="C33" i="5" s="1"/>
  <c r="C34" i="5" s="1"/>
  <c r="O30" i="5"/>
  <c r="N30" i="5"/>
  <c r="M30" i="5"/>
  <c r="L30" i="5"/>
  <c r="J30" i="5"/>
  <c r="I30" i="5"/>
  <c r="H30" i="5"/>
  <c r="G30" i="5"/>
  <c r="F30" i="5"/>
  <c r="D30" i="5"/>
  <c r="B30" i="5"/>
  <c r="C27" i="5"/>
  <c r="B25" i="5"/>
  <c r="C24" i="5"/>
  <c r="C25" i="5" s="1"/>
  <c r="C26" i="5" s="1"/>
  <c r="O23" i="5"/>
  <c r="N23" i="5"/>
  <c r="M23" i="5"/>
  <c r="L23" i="5"/>
  <c r="J23" i="5"/>
  <c r="I23" i="5"/>
  <c r="H23" i="5"/>
  <c r="G23" i="5"/>
  <c r="F23" i="5"/>
  <c r="D23" i="5"/>
  <c r="B23" i="5"/>
  <c r="M17" i="5"/>
  <c r="L17" i="5"/>
  <c r="G17" i="5"/>
  <c r="F17" i="5"/>
  <c r="B17" i="5"/>
  <c r="O16" i="5"/>
  <c r="M16" i="5"/>
  <c r="I16" i="5"/>
  <c r="G16" i="5"/>
  <c r="B16" i="5"/>
  <c r="O15" i="5"/>
  <c r="K15" i="5"/>
  <c r="B15" i="5"/>
  <c r="K14" i="5"/>
  <c r="E14" i="5"/>
  <c r="B14" i="5"/>
  <c r="N13" i="5"/>
  <c r="M13" i="5"/>
  <c r="H13" i="5"/>
  <c r="G13" i="5"/>
  <c r="B13" i="5"/>
  <c r="O12" i="5"/>
  <c r="N12" i="5"/>
  <c r="M12" i="5"/>
  <c r="L12" i="5"/>
  <c r="K12" i="5"/>
  <c r="J12" i="5"/>
  <c r="I12" i="5"/>
  <c r="H12" i="5"/>
  <c r="G12" i="5"/>
  <c r="F12" i="5"/>
  <c r="E12" i="5"/>
  <c r="D12" i="5"/>
  <c r="O9" i="5"/>
  <c r="O17" i="5" s="1"/>
  <c r="N9" i="5"/>
  <c r="N17" i="5" s="1"/>
  <c r="M9" i="5"/>
  <c r="L9" i="5"/>
  <c r="K9" i="5"/>
  <c r="K17" i="5" s="1"/>
  <c r="J9" i="5"/>
  <c r="J17" i="5" s="1"/>
  <c r="I9" i="5"/>
  <c r="I17" i="5" s="1"/>
  <c r="H9" i="5"/>
  <c r="H17" i="5" s="1"/>
  <c r="G9" i="5"/>
  <c r="F9" i="5"/>
  <c r="E9" i="5"/>
  <c r="E17" i="5" s="1"/>
  <c r="D9" i="5"/>
  <c r="D17" i="5" s="1"/>
  <c r="C9" i="5"/>
  <c r="C63" i="5" s="1"/>
  <c r="B9" i="5"/>
  <c r="B63" i="5" s="1"/>
  <c r="O8" i="5"/>
  <c r="N8" i="5"/>
  <c r="N16" i="5" s="1"/>
  <c r="M8" i="5"/>
  <c r="L8" i="5"/>
  <c r="L16" i="5" s="1"/>
  <c r="K8" i="5"/>
  <c r="K16" i="5" s="1"/>
  <c r="J8" i="5"/>
  <c r="J16" i="5" s="1"/>
  <c r="I8" i="5"/>
  <c r="H8" i="5"/>
  <c r="H16" i="5" s="1"/>
  <c r="G8" i="5"/>
  <c r="F8" i="5"/>
  <c r="F16" i="5" s="1"/>
  <c r="E8" i="5"/>
  <c r="E16" i="5" s="1"/>
  <c r="D8" i="5"/>
  <c r="C8" i="5"/>
  <c r="C62" i="5" s="1"/>
  <c r="B8" i="5"/>
  <c r="B62" i="5" s="1"/>
  <c r="O7" i="5"/>
  <c r="N7" i="5"/>
  <c r="N15" i="5" s="1"/>
  <c r="M7" i="5"/>
  <c r="M15" i="5" s="1"/>
  <c r="L7" i="5"/>
  <c r="L15" i="5" s="1"/>
  <c r="K7" i="5"/>
  <c r="J7" i="5"/>
  <c r="J15" i="5" s="1"/>
  <c r="I7" i="5"/>
  <c r="I15" i="5" s="1"/>
  <c r="H7" i="5"/>
  <c r="H15" i="5" s="1"/>
  <c r="G7" i="5"/>
  <c r="G15" i="5" s="1"/>
  <c r="F7" i="5"/>
  <c r="F15" i="5" s="1"/>
  <c r="E7" i="5"/>
  <c r="E15" i="5" s="1"/>
  <c r="E18" i="5" s="1"/>
  <c r="D6" i="9" s="1"/>
  <c r="D7" i="5"/>
  <c r="P7" i="5" s="1"/>
  <c r="C7" i="5"/>
  <c r="B7" i="5"/>
  <c r="B61" i="5" s="1"/>
  <c r="O6" i="5"/>
  <c r="O14" i="5" s="1"/>
  <c r="N6" i="5"/>
  <c r="N14" i="5" s="1"/>
  <c r="M6" i="5"/>
  <c r="M14" i="5" s="1"/>
  <c r="L6" i="5"/>
  <c r="L14" i="5" s="1"/>
  <c r="L18" i="5" s="1"/>
  <c r="K6" i="9" s="1"/>
  <c r="K6" i="5"/>
  <c r="J6" i="5"/>
  <c r="J14" i="5" s="1"/>
  <c r="I6" i="5"/>
  <c r="I14" i="5" s="1"/>
  <c r="H6" i="5"/>
  <c r="H14" i="5" s="1"/>
  <c r="G6" i="5"/>
  <c r="G14" i="5" s="1"/>
  <c r="F6" i="5"/>
  <c r="F14" i="5" s="1"/>
  <c r="F18" i="5" s="1"/>
  <c r="E6" i="9" s="1"/>
  <c r="E6" i="5"/>
  <c r="D6" i="5"/>
  <c r="D14" i="5" s="1"/>
  <c r="C6" i="5"/>
  <c r="B6" i="5"/>
  <c r="B60" i="5" s="1"/>
  <c r="O5" i="5"/>
  <c r="O13" i="5" s="1"/>
  <c r="O18" i="5" s="1"/>
  <c r="N6" i="9" s="1"/>
  <c r="N8" i="9" s="1"/>
  <c r="N5" i="5"/>
  <c r="M5" i="5"/>
  <c r="L5" i="5"/>
  <c r="L13" i="5" s="1"/>
  <c r="K5" i="5"/>
  <c r="K13" i="5" s="1"/>
  <c r="K18" i="5" s="1"/>
  <c r="J6" i="9" s="1"/>
  <c r="J5" i="5"/>
  <c r="J13" i="5" s="1"/>
  <c r="I5" i="5"/>
  <c r="I13" i="5" s="1"/>
  <c r="I18" i="5" s="1"/>
  <c r="H6" i="9" s="1"/>
  <c r="H5" i="5"/>
  <c r="G5" i="5"/>
  <c r="F5" i="5"/>
  <c r="F13" i="5" s="1"/>
  <c r="E5" i="5"/>
  <c r="E13" i="5" s="1"/>
  <c r="D5" i="5"/>
  <c r="D13" i="5" s="1"/>
  <c r="C5" i="5"/>
  <c r="B5" i="5"/>
  <c r="O4" i="5"/>
  <c r="N4" i="5"/>
  <c r="M4" i="5"/>
  <c r="L4" i="5"/>
  <c r="K4" i="5"/>
  <c r="J4" i="5"/>
  <c r="I4" i="5"/>
  <c r="H4" i="5"/>
  <c r="G4" i="5"/>
  <c r="F4" i="5"/>
  <c r="E4" i="5"/>
  <c r="D4" i="5"/>
  <c r="M1" i="5"/>
  <c r="C97" i="4"/>
  <c r="B97" i="4"/>
  <c r="C92" i="4"/>
  <c r="C91" i="4"/>
  <c r="B90" i="4"/>
  <c r="O84" i="4"/>
  <c r="N84" i="4"/>
  <c r="M84" i="4"/>
  <c r="L84" i="4"/>
  <c r="K84" i="4"/>
  <c r="J84" i="4"/>
  <c r="I84" i="4"/>
  <c r="H84" i="4"/>
  <c r="G84" i="4"/>
  <c r="F84" i="4"/>
  <c r="E84" i="4"/>
  <c r="D84" i="4"/>
  <c r="D85" i="4" s="1"/>
  <c r="E85" i="4" s="1"/>
  <c r="F85" i="4" s="1"/>
  <c r="G85" i="4" s="1"/>
  <c r="H85" i="4" s="1"/>
  <c r="I85" i="4" s="1"/>
  <c r="J85" i="4" s="1"/>
  <c r="K85" i="4" s="1"/>
  <c r="L85" i="4" s="1"/>
  <c r="M85" i="4" s="1"/>
  <c r="N85" i="4" s="1"/>
  <c r="O85" i="4" s="1"/>
  <c r="D99" i="4" s="1"/>
  <c r="N81" i="4"/>
  <c r="H81" i="4"/>
  <c r="G81" i="4"/>
  <c r="O77" i="4"/>
  <c r="N77" i="4"/>
  <c r="M77" i="4"/>
  <c r="L77" i="4"/>
  <c r="K77" i="4"/>
  <c r="J77" i="4"/>
  <c r="I77" i="4"/>
  <c r="H77" i="4"/>
  <c r="G77" i="4"/>
  <c r="F77" i="4"/>
  <c r="E77" i="4"/>
  <c r="D77" i="4"/>
  <c r="D78" i="4" s="1"/>
  <c r="E78" i="4" s="1"/>
  <c r="F78" i="4" s="1"/>
  <c r="G78" i="4" s="1"/>
  <c r="H78" i="4" s="1"/>
  <c r="I78" i="4" s="1"/>
  <c r="J78" i="4" s="1"/>
  <c r="K78" i="4" s="1"/>
  <c r="L78" i="4" s="1"/>
  <c r="M78" i="4" s="1"/>
  <c r="N78" i="4" s="1"/>
  <c r="O78" i="4" s="1"/>
  <c r="D98" i="4" s="1"/>
  <c r="O70" i="4"/>
  <c r="N70" i="4"/>
  <c r="M70" i="4"/>
  <c r="L70" i="4"/>
  <c r="K70" i="4"/>
  <c r="J70" i="4"/>
  <c r="I70" i="4"/>
  <c r="H70" i="4"/>
  <c r="G70" i="4"/>
  <c r="F70" i="4"/>
  <c r="E70" i="4"/>
  <c r="D70" i="4"/>
  <c r="D71" i="4" s="1"/>
  <c r="E71" i="4" s="1"/>
  <c r="F71" i="4" s="1"/>
  <c r="G71" i="4" s="1"/>
  <c r="H71" i="4" s="1"/>
  <c r="I71" i="4" s="1"/>
  <c r="J71" i="4" s="1"/>
  <c r="K71" i="4" s="1"/>
  <c r="L71" i="4" s="1"/>
  <c r="M71" i="4" s="1"/>
  <c r="N71" i="4" s="1"/>
  <c r="O71" i="4" s="1"/>
  <c r="D97" i="4" s="1"/>
  <c r="C69" i="4"/>
  <c r="C70" i="4" s="1"/>
  <c r="C71" i="4" s="1"/>
  <c r="E67" i="4"/>
  <c r="O63" i="4"/>
  <c r="N63" i="4"/>
  <c r="M63" i="4"/>
  <c r="L63" i="4"/>
  <c r="K63" i="4"/>
  <c r="J63" i="4"/>
  <c r="I63" i="4"/>
  <c r="H63" i="4"/>
  <c r="G63" i="4"/>
  <c r="F63" i="4"/>
  <c r="E63" i="4"/>
  <c r="D63" i="4"/>
  <c r="D64" i="4" s="1"/>
  <c r="E64" i="4" s="1"/>
  <c r="F64" i="4" s="1"/>
  <c r="G64" i="4" s="1"/>
  <c r="H64" i="4" s="1"/>
  <c r="I64" i="4" s="1"/>
  <c r="J64" i="4" s="1"/>
  <c r="K64" i="4" s="1"/>
  <c r="L64" i="4" s="1"/>
  <c r="M64" i="4" s="1"/>
  <c r="N64" i="4" s="1"/>
  <c r="O64" i="4" s="1"/>
  <c r="D96" i="4" s="1"/>
  <c r="K60" i="4"/>
  <c r="J60" i="4"/>
  <c r="E60" i="4"/>
  <c r="O56" i="4"/>
  <c r="N56" i="4"/>
  <c r="M56" i="4"/>
  <c r="L56" i="4"/>
  <c r="K56" i="4"/>
  <c r="J56" i="4"/>
  <c r="I56" i="4"/>
  <c r="H56" i="4"/>
  <c r="G56" i="4"/>
  <c r="F56" i="4"/>
  <c r="E56" i="4"/>
  <c r="D56" i="4"/>
  <c r="D57" i="4" s="1"/>
  <c r="E57" i="4" s="1"/>
  <c r="F57" i="4" s="1"/>
  <c r="G57" i="4" s="1"/>
  <c r="H57" i="4" s="1"/>
  <c r="I57" i="4" s="1"/>
  <c r="J57" i="4" s="1"/>
  <c r="K57" i="4" s="1"/>
  <c r="L57" i="4" s="1"/>
  <c r="M57" i="4" s="1"/>
  <c r="N57" i="4" s="1"/>
  <c r="O57" i="4" s="1"/>
  <c r="D95" i="4" s="1"/>
  <c r="C54" i="4"/>
  <c r="C55" i="4" s="1"/>
  <c r="C56" i="4" s="1"/>
  <c r="C57" i="4" s="1"/>
  <c r="O53" i="4"/>
  <c r="D53" i="4"/>
  <c r="B53" i="4"/>
  <c r="D50" i="4"/>
  <c r="E50" i="4" s="1"/>
  <c r="F50" i="4" s="1"/>
  <c r="G50" i="4" s="1"/>
  <c r="H50" i="4" s="1"/>
  <c r="I50" i="4" s="1"/>
  <c r="J50" i="4" s="1"/>
  <c r="K50" i="4" s="1"/>
  <c r="L50" i="4" s="1"/>
  <c r="M50" i="4" s="1"/>
  <c r="N50" i="4" s="1"/>
  <c r="O50" i="4" s="1"/>
  <c r="D94" i="4" s="1"/>
  <c r="O49" i="4"/>
  <c r="N49" i="4"/>
  <c r="M49" i="4"/>
  <c r="L49" i="4"/>
  <c r="K49" i="4"/>
  <c r="J49" i="4"/>
  <c r="I49" i="4"/>
  <c r="H49" i="4"/>
  <c r="G49" i="4"/>
  <c r="F49" i="4"/>
  <c r="E49" i="4"/>
  <c r="D49" i="4"/>
  <c r="O46" i="4"/>
  <c r="N46" i="4"/>
  <c r="I46" i="4"/>
  <c r="H46" i="4"/>
  <c r="B46" i="4"/>
  <c r="I43" i="4"/>
  <c r="J43" i="4" s="1"/>
  <c r="K43" i="4" s="1"/>
  <c r="L43" i="4" s="1"/>
  <c r="M43" i="4" s="1"/>
  <c r="N43" i="4" s="1"/>
  <c r="O43" i="4" s="1"/>
  <c r="D93" i="4" s="1"/>
  <c r="O42" i="4"/>
  <c r="N42" i="4"/>
  <c r="M42" i="4"/>
  <c r="L42" i="4"/>
  <c r="K42" i="4"/>
  <c r="J42" i="4"/>
  <c r="I42" i="4"/>
  <c r="H42" i="4"/>
  <c r="G42" i="4"/>
  <c r="F42" i="4"/>
  <c r="E42" i="4"/>
  <c r="D42" i="4"/>
  <c r="D43" i="4" s="1"/>
  <c r="E43" i="4" s="1"/>
  <c r="F43" i="4" s="1"/>
  <c r="G43" i="4" s="1"/>
  <c r="H43" i="4" s="1"/>
  <c r="N39" i="4"/>
  <c r="M39" i="4"/>
  <c r="K39" i="4"/>
  <c r="H39" i="4"/>
  <c r="G39" i="4"/>
  <c r="E39" i="4"/>
  <c r="O35" i="4"/>
  <c r="N35" i="4"/>
  <c r="M35" i="4"/>
  <c r="L35" i="4"/>
  <c r="K35" i="4"/>
  <c r="J35" i="4"/>
  <c r="I35" i="4"/>
  <c r="H35" i="4"/>
  <c r="G35" i="4"/>
  <c r="F35" i="4"/>
  <c r="E35" i="4"/>
  <c r="D35" i="4"/>
  <c r="D36" i="4" s="1"/>
  <c r="E36" i="4" s="1"/>
  <c r="F36" i="4" s="1"/>
  <c r="G36" i="4" s="1"/>
  <c r="H36" i="4" s="1"/>
  <c r="I36" i="4" s="1"/>
  <c r="J36" i="4" s="1"/>
  <c r="K36" i="4" s="1"/>
  <c r="L36" i="4" s="1"/>
  <c r="M36" i="4" s="1"/>
  <c r="N36" i="4" s="1"/>
  <c r="O36" i="4" s="1"/>
  <c r="D92" i="4" s="1"/>
  <c r="C33" i="4"/>
  <c r="C34" i="4" s="1"/>
  <c r="C35" i="4" s="1"/>
  <c r="C36" i="4" s="1"/>
  <c r="L32" i="4"/>
  <c r="M29" i="4"/>
  <c r="N29" i="4" s="1"/>
  <c r="O29" i="4" s="1"/>
  <c r="D91" i="4" s="1"/>
  <c r="G29" i="4"/>
  <c r="H29" i="4" s="1"/>
  <c r="I29" i="4" s="1"/>
  <c r="J29" i="4" s="1"/>
  <c r="K29" i="4" s="1"/>
  <c r="L29" i="4" s="1"/>
  <c r="E29" i="4"/>
  <c r="F29" i="4" s="1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C27" i="4"/>
  <c r="C28" i="4" s="1"/>
  <c r="C29" i="4" s="1"/>
  <c r="O25" i="4"/>
  <c r="K25" i="4"/>
  <c r="I25" i="4"/>
  <c r="E25" i="4"/>
  <c r="F22" i="4"/>
  <c r="G22" i="4" s="1"/>
  <c r="H22" i="4" s="1"/>
  <c r="I22" i="4" s="1"/>
  <c r="J22" i="4" s="1"/>
  <c r="K22" i="4" s="1"/>
  <c r="L22" i="4" s="1"/>
  <c r="M22" i="4" s="1"/>
  <c r="N22" i="4" s="1"/>
  <c r="O22" i="4" s="1"/>
  <c r="D90" i="4" s="1"/>
  <c r="D22" i="4"/>
  <c r="E22" i="4" s="1"/>
  <c r="O21" i="4"/>
  <c r="N21" i="4"/>
  <c r="M21" i="4"/>
  <c r="L21" i="4"/>
  <c r="K21" i="4"/>
  <c r="J21" i="4"/>
  <c r="I21" i="4"/>
  <c r="H21" i="4"/>
  <c r="G21" i="4"/>
  <c r="F21" i="4"/>
  <c r="E21" i="4"/>
  <c r="D21" i="4"/>
  <c r="O20" i="4"/>
  <c r="O4" i="4" s="1"/>
  <c r="O18" i="4"/>
  <c r="K18" i="4"/>
  <c r="I18" i="4"/>
  <c r="E18" i="4"/>
  <c r="O13" i="4"/>
  <c r="N13" i="4"/>
  <c r="M45" i="6" s="1"/>
  <c r="M13" i="4"/>
  <c r="L13" i="4"/>
  <c r="K13" i="4"/>
  <c r="J13" i="4"/>
  <c r="I13" i="4"/>
  <c r="H13" i="4"/>
  <c r="G13" i="4"/>
  <c r="F13" i="4"/>
  <c r="E13" i="4"/>
  <c r="D13" i="4"/>
  <c r="C13" i="4"/>
  <c r="B13" i="4"/>
  <c r="B99" i="4" s="1"/>
  <c r="O12" i="4"/>
  <c r="N44" i="6" s="1"/>
  <c r="N12" i="4"/>
  <c r="M30" i="6" s="1"/>
  <c r="M12" i="4"/>
  <c r="L12" i="4"/>
  <c r="K12" i="4"/>
  <c r="J44" i="6" s="1"/>
  <c r="J12" i="4"/>
  <c r="I12" i="4"/>
  <c r="H12" i="4"/>
  <c r="G12" i="4"/>
  <c r="F12" i="4"/>
  <c r="E12" i="4"/>
  <c r="D12" i="4"/>
  <c r="C12" i="4"/>
  <c r="C75" i="4" s="1"/>
  <c r="C76" i="4" s="1"/>
  <c r="C77" i="4" s="1"/>
  <c r="C78" i="4" s="1"/>
  <c r="B12" i="4"/>
  <c r="O11" i="4"/>
  <c r="N11" i="4"/>
  <c r="M11" i="4"/>
  <c r="L11" i="4"/>
  <c r="K71" i="6" s="1"/>
  <c r="K11" i="4"/>
  <c r="J11" i="4"/>
  <c r="I11" i="4"/>
  <c r="H11" i="4"/>
  <c r="G11" i="4"/>
  <c r="F11" i="4"/>
  <c r="E11" i="4"/>
  <c r="D11" i="4"/>
  <c r="C11" i="4"/>
  <c r="C68" i="4" s="1"/>
  <c r="B11" i="4"/>
  <c r="B67" i="4" s="1"/>
  <c r="O10" i="4"/>
  <c r="N70" i="6" s="1"/>
  <c r="N10" i="4"/>
  <c r="M28" i="6" s="1"/>
  <c r="M10" i="4"/>
  <c r="L10" i="4"/>
  <c r="K10" i="4"/>
  <c r="J10" i="4"/>
  <c r="I10" i="4"/>
  <c r="H70" i="6" s="1"/>
  <c r="H10" i="4"/>
  <c r="G10" i="4"/>
  <c r="F10" i="4"/>
  <c r="E10" i="4"/>
  <c r="D10" i="4"/>
  <c r="C10" i="4"/>
  <c r="C96" i="4" s="1"/>
  <c r="B10" i="4"/>
  <c r="B60" i="4" s="1"/>
  <c r="O9" i="4"/>
  <c r="N9" i="4"/>
  <c r="M41" i="6" s="1"/>
  <c r="M9" i="4"/>
  <c r="L9" i="4"/>
  <c r="K9" i="4"/>
  <c r="J9" i="4"/>
  <c r="I83" i="6" s="1"/>
  <c r="I9" i="4"/>
  <c r="H9" i="4"/>
  <c r="G9" i="4"/>
  <c r="F9" i="4"/>
  <c r="E9" i="4"/>
  <c r="D9" i="4"/>
  <c r="C9" i="4"/>
  <c r="C95" i="4" s="1"/>
  <c r="B9" i="4"/>
  <c r="B95" i="4" s="1"/>
  <c r="O8" i="4"/>
  <c r="N40" i="6" s="1"/>
  <c r="N8" i="4"/>
  <c r="M26" i="6" s="1"/>
  <c r="M8" i="4"/>
  <c r="L8" i="4"/>
  <c r="K8" i="4"/>
  <c r="J8" i="4"/>
  <c r="I8" i="4"/>
  <c r="H8" i="4"/>
  <c r="G8" i="4"/>
  <c r="F8" i="4"/>
  <c r="E8" i="4"/>
  <c r="D8" i="4"/>
  <c r="P8" i="4" s="1"/>
  <c r="C8" i="4"/>
  <c r="C94" i="4" s="1"/>
  <c r="B8" i="4"/>
  <c r="B94" i="4" s="1"/>
  <c r="O7" i="4"/>
  <c r="N7" i="4"/>
  <c r="M39" i="6" s="1"/>
  <c r="M7" i="4"/>
  <c r="L7" i="4"/>
  <c r="K67" i="6" s="1"/>
  <c r="K7" i="4"/>
  <c r="J7" i="4"/>
  <c r="I7" i="4"/>
  <c r="H7" i="4"/>
  <c r="G7" i="4"/>
  <c r="F7" i="4"/>
  <c r="E7" i="4"/>
  <c r="D7" i="4"/>
  <c r="C7" i="4"/>
  <c r="C93" i="4" s="1"/>
  <c r="B7" i="4"/>
  <c r="B93" i="4" s="1"/>
  <c r="O6" i="4"/>
  <c r="N38" i="6" s="1"/>
  <c r="N6" i="4"/>
  <c r="M24" i="6" s="1"/>
  <c r="M6" i="4"/>
  <c r="L6" i="4"/>
  <c r="K6" i="4"/>
  <c r="J6" i="4"/>
  <c r="I6" i="4"/>
  <c r="H6" i="4"/>
  <c r="G6" i="4"/>
  <c r="F6" i="4"/>
  <c r="E6" i="4"/>
  <c r="D6" i="4"/>
  <c r="C6" i="4"/>
  <c r="B6" i="4"/>
  <c r="B92" i="4" s="1"/>
  <c r="O5" i="4"/>
  <c r="N5" i="4"/>
  <c r="M37" i="6" s="1"/>
  <c r="M5" i="4"/>
  <c r="L5" i="4"/>
  <c r="K5" i="4"/>
  <c r="J5" i="4"/>
  <c r="I5" i="4"/>
  <c r="H5" i="4"/>
  <c r="G5" i="4"/>
  <c r="F5" i="4"/>
  <c r="E5" i="4"/>
  <c r="D5" i="4"/>
  <c r="C5" i="4"/>
  <c r="C26" i="4" s="1"/>
  <c r="B5" i="4"/>
  <c r="B25" i="4" s="1"/>
  <c r="P4" i="4"/>
  <c r="N4" i="4"/>
  <c r="M22" i="6" s="1"/>
  <c r="M4" i="4"/>
  <c r="L4" i="4"/>
  <c r="K4" i="4"/>
  <c r="J36" i="6" s="1"/>
  <c r="J4" i="4"/>
  <c r="I4" i="4"/>
  <c r="H4" i="4"/>
  <c r="G4" i="4"/>
  <c r="F4" i="4"/>
  <c r="E4" i="4"/>
  <c r="D4" i="4"/>
  <c r="C4" i="4"/>
  <c r="C19" i="4" s="1"/>
  <c r="C20" i="4" s="1"/>
  <c r="C21" i="4" s="1"/>
  <c r="C22" i="4" s="1"/>
  <c r="B4" i="4"/>
  <c r="B18" i="4" s="1"/>
  <c r="O3" i="4"/>
  <c r="O39" i="4" s="1"/>
  <c r="N3" i="4"/>
  <c r="M3" i="4"/>
  <c r="M32" i="4" s="1"/>
  <c r="L3" i="4"/>
  <c r="K3" i="4"/>
  <c r="K67" i="4" s="1"/>
  <c r="J3" i="4"/>
  <c r="J39" i="4" s="1"/>
  <c r="I3" i="4"/>
  <c r="I81" i="4" s="1"/>
  <c r="H3" i="4"/>
  <c r="G3" i="4"/>
  <c r="F3" i="4"/>
  <c r="E3" i="4"/>
  <c r="E46" i="4" s="1"/>
  <c r="D3" i="4"/>
  <c r="D32" i="4" s="1"/>
  <c r="M1" i="4"/>
  <c r="B67" i="3"/>
  <c r="D66" i="3"/>
  <c r="B66" i="3"/>
  <c r="B65" i="3"/>
  <c r="B64" i="3"/>
  <c r="D63" i="3"/>
  <c r="B63" i="3"/>
  <c r="D62" i="3"/>
  <c r="B62" i="3"/>
  <c r="B61" i="3"/>
  <c r="B60" i="3"/>
  <c r="D59" i="3"/>
  <c r="B59" i="3"/>
  <c r="B58" i="3"/>
  <c r="G57" i="3"/>
  <c r="F57" i="3"/>
  <c r="E57" i="3"/>
  <c r="D57" i="3"/>
  <c r="C57" i="3"/>
  <c r="G54" i="3"/>
  <c r="F4" i="12" s="1"/>
  <c r="D54" i="3"/>
  <c r="G53" i="3"/>
  <c r="F53" i="3"/>
  <c r="E53" i="3"/>
  <c r="D53" i="3"/>
  <c r="B53" i="3"/>
  <c r="G52" i="3"/>
  <c r="F52" i="3"/>
  <c r="E52" i="3"/>
  <c r="D52" i="3"/>
  <c r="B52" i="3"/>
  <c r="G51" i="3"/>
  <c r="F51" i="3"/>
  <c r="E51" i="3"/>
  <c r="D51" i="3"/>
  <c r="B51" i="3"/>
  <c r="G50" i="3"/>
  <c r="F50" i="3"/>
  <c r="E50" i="3"/>
  <c r="D50" i="3"/>
  <c r="B50" i="3"/>
  <c r="G49" i="3"/>
  <c r="F49" i="3"/>
  <c r="E49" i="3"/>
  <c r="D49" i="3"/>
  <c r="B49" i="3"/>
  <c r="G48" i="3"/>
  <c r="F48" i="3"/>
  <c r="E48" i="3"/>
  <c r="D48" i="3"/>
  <c r="B48" i="3"/>
  <c r="G47" i="3"/>
  <c r="F47" i="3"/>
  <c r="E47" i="3"/>
  <c r="D47" i="3"/>
  <c r="B47" i="3"/>
  <c r="G46" i="3"/>
  <c r="F46" i="3"/>
  <c r="E46" i="3"/>
  <c r="D46" i="3"/>
  <c r="B46" i="3"/>
  <c r="G45" i="3"/>
  <c r="F45" i="3"/>
  <c r="E45" i="3"/>
  <c r="D45" i="3"/>
  <c r="B45" i="3"/>
  <c r="G44" i="3"/>
  <c r="F44" i="3"/>
  <c r="F54" i="3" s="1"/>
  <c r="E44" i="3"/>
  <c r="E54" i="3" s="1"/>
  <c r="D44" i="3"/>
  <c r="B44" i="3"/>
  <c r="J40" i="3"/>
  <c r="J6" i="8" s="1"/>
  <c r="D40" i="3"/>
  <c r="D6" i="8" s="1"/>
  <c r="N39" i="3"/>
  <c r="M39" i="3"/>
  <c r="L39" i="3"/>
  <c r="K39" i="3"/>
  <c r="J39" i="3"/>
  <c r="I39" i="3"/>
  <c r="H39" i="3"/>
  <c r="G39" i="3"/>
  <c r="F39" i="3"/>
  <c r="E39" i="3"/>
  <c r="D39" i="3"/>
  <c r="C39" i="3"/>
  <c r="O39" i="3" s="1"/>
  <c r="C53" i="3" s="1"/>
  <c r="B39" i="3"/>
  <c r="N38" i="3"/>
  <c r="M38" i="3"/>
  <c r="L38" i="3"/>
  <c r="K38" i="3"/>
  <c r="J38" i="3"/>
  <c r="I38" i="3"/>
  <c r="H38" i="3"/>
  <c r="G38" i="3"/>
  <c r="F38" i="3"/>
  <c r="E38" i="3"/>
  <c r="D38" i="3"/>
  <c r="C38" i="3"/>
  <c r="O38" i="3" s="1"/>
  <c r="C52" i="3" s="1"/>
  <c r="B38" i="3"/>
  <c r="N37" i="3"/>
  <c r="M37" i="3"/>
  <c r="L37" i="3"/>
  <c r="K37" i="3"/>
  <c r="J37" i="3"/>
  <c r="I37" i="3"/>
  <c r="H37" i="3"/>
  <c r="G37" i="3"/>
  <c r="F37" i="3"/>
  <c r="E37" i="3"/>
  <c r="D37" i="3"/>
  <c r="C37" i="3"/>
  <c r="O37" i="3" s="1"/>
  <c r="C51" i="3" s="1"/>
  <c r="B37" i="3"/>
  <c r="N36" i="3"/>
  <c r="M36" i="3"/>
  <c r="L36" i="3"/>
  <c r="K36" i="3"/>
  <c r="J36" i="3"/>
  <c r="I36" i="3"/>
  <c r="H36" i="3"/>
  <c r="G36" i="3"/>
  <c r="F36" i="3"/>
  <c r="E36" i="3"/>
  <c r="D36" i="3"/>
  <c r="C36" i="3"/>
  <c r="O36" i="3" s="1"/>
  <c r="C50" i="3" s="1"/>
  <c r="B36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N34" i="3"/>
  <c r="M34" i="3"/>
  <c r="L34" i="3"/>
  <c r="K34" i="3"/>
  <c r="J34" i="3"/>
  <c r="I34" i="3"/>
  <c r="H34" i="3"/>
  <c r="G34" i="3"/>
  <c r="F34" i="3"/>
  <c r="E34" i="3"/>
  <c r="D34" i="3"/>
  <c r="C34" i="3"/>
  <c r="O34" i="3" s="1"/>
  <c r="C48" i="3" s="1"/>
  <c r="B34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N32" i="3"/>
  <c r="N40" i="3" s="1"/>
  <c r="N6" i="8" s="1"/>
  <c r="N8" i="8" s="1"/>
  <c r="M32" i="3"/>
  <c r="L32" i="3"/>
  <c r="K32" i="3"/>
  <c r="J32" i="3"/>
  <c r="I32" i="3"/>
  <c r="H32" i="3"/>
  <c r="H40" i="3" s="1"/>
  <c r="H6" i="8" s="1"/>
  <c r="G32" i="3"/>
  <c r="F32" i="3"/>
  <c r="E32" i="3"/>
  <c r="D32" i="3"/>
  <c r="C32" i="3"/>
  <c r="O32" i="3" s="1"/>
  <c r="C46" i="3" s="1"/>
  <c r="B32" i="3"/>
  <c r="N31" i="3"/>
  <c r="M31" i="3"/>
  <c r="L31" i="3"/>
  <c r="K31" i="3"/>
  <c r="J31" i="3"/>
  <c r="I31" i="3"/>
  <c r="H31" i="3"/>
  <c r="G31" i="3"/>
  <c r="F31" i="3"/>
  <c r="E31" i="3"/>
  <c r="D31" i="3"/>
  <c r="C31" i="3"/>
  <c r="O31" i="3" s="1"/>
  <c r="C45" i="3" s="1"/>
  <c r="B31" i="3"/>
  <c r="N30" i="3"/>
  <c r="M30" i="3"/>
  <c r="L30" i="3"/>
  <c r="L40" i="3" s="1"/>
  <c r="L6" i="8" s="1"/>
  <c r="K30" i="3"/>
  <c r="J30" i="3"/>
  <c r="I30" i="3"/>
  <c r="H30" i="3"/>
  <c r="G30" i="3"/>
  <c r="F30" i="3"/>
  <c r="F40" i="3" s="1"/>
  <c r="F6" i="8" s="1"/>
  <c r="E30" i="3"/>
  <c r="D30" i="3"/>
  <c r="C30" i="3"/>
  <c r="B30" i="3"/>
  <c r="N29" i="3"/>
  <c r="M29" i="3"/>
  <c r="L29" i="3"/>
  <c r="K29" i="3"/>
  <c r="J29" i="3"/>
  <c r="I29" i="3"/>
  <c r="H29" i="3"/>
  <c r="G29" i="3"/>
  <c r="F29" i="3"/>
  <c r="E29" i="3"/>
  <c r="D29" i="3"/>
  <c r="C29" i="3"/>
  <c r="B26" i="3"/>
  <c r="C25" i="3"/>
  <c r="B25" i="3"/>
  <c r="C24" i="3"/>
  <c r="B24" i="3"/>
  <c r="B23" i="3"/>
  <c r="C22" i="3"/>
  <c r="B22" i="3"/>
  <c r="C21" i="3"/>
  <c r="B21" i="3"/>
  <c r="B20" i="3"/>
  <c r="C19" i="3"/>
  <c r="B19" i="3"/>
  <c r="C18" i="3"/>
  <c r="B18" i="3"/>
  <c r="B17" i="3"/>
  <c r="P13" i="3"/>
  <c r="O13" i="3"/>
  <c r="C67" i="3" s="1"/>
  <c r="B13" i="3"/>
  <c r="P12" i="3"/>
  <c r="O12" i="3"/>
  <c r="C66" i="3" s="1"/>
  <c r="B12" i="3"/>
  <c r="P11" i="3"/>
  <c r="O11" i="3"/>
  <c r="C65" i="3" s="1"/>
  <c r="B11" i="3"/>
  <c r="P10" i="3"/>
  <c r="O10" i="3"/>
  <c r="B10" i="3"/>
  <c r="P9" i="3"/>
  <c r="O9" i="3"/>
  <c r="C63" i="3" s="1"/>
  <c r="B9" i="3"/>
  <c r="P8" i="3"/>
  <c r="O8" i="3"/>
  <c r="B8" i="3"/>
  <c r="P7" i="3"/>
  <c r="O7" i="3"/>
  <c r="B7" i="3"/>
  <c r="P6" i="3"/>
  <c r="O6" i="3"/>
  <c r="B6" i="3"/>
  <c r="P5" i="3"/>
  <c r="O5" i="3"/>
  <c r="C59" i="3" s="1"/>
  <c r="B5" i="3"/>
  <c r="P4" i="3"/>
  <c r="O4" i="3"/>
  <c r="C58" i="3" s="1"/>
  <c r="B4" i="3"/>
  <c r="M1" i="3"/>
  <c r="K40" i="2"/>
  <c r="J40" i="2"/>
  <c r="I40" i="2"/>
  <c r="H40" i="2"/>
  <c r="G40" i="2"/>
  <c r="E40" i="2" s="1"/>
  <c r="F40" i="2"/>
  <c r="D40" i="2"/>
  <c r="C40" i="2"/>
  <c r="B40" i="2"/>
  <c r="K39" i="2"/>
  <c r="J39" i="2"/>
  <c r="E39" i="2" s="1"/>
  <c r="I39" i="2"/>
  <c r="H39" i="2"/>
  <c r="G39" i="2"/>
  <c r="D39" i="2"/>
  <c r="C39" i="2"/>
  <c r="B39" i="2"/>
  <c r="K38" i="2"/>
  <c r="J38" i="2"/>
  <c r="I38" i="2"/>
  <c r="H38" i="2"/>
  <c r="E38" i="2" s="1"/>
  <c r="G38" i="2"/>
  <c r="D38" i="2"/>
  <c r="C38" i="2"/>
  <c r="B38" i="2"/>
  <c r="K37" i="2"/>
  <c r="J37" i="2"/>
  <c r="I37" i="2"/>
  <c r="H37" i="2"/>
  <c r="G37" i="2"/>
  <c r="E37" i="2" s="1"/>
  <c r="D64" i="3" s="1"/>
  <c r="F37" i="2"/>
  <c r="D37" i="2"/>
  <c r="C37" i="2"/>
  <c r="B37" i="2"/>
  <c r="K36" i="2"/>
  <c r="J36" i="2"/>
  <c r="E36" i="2" s="1"/>
  <c r="I36" i="2"/>
  <c r="H36" i="2"/>
  <c r="G36" i="2"/>
  <c r="D36" i="2"/>
  <c r="C36" i="2"/>
  <c r="B36" i="2"/>
  <c r="K35" i="2"/>
  <c r="J35" i="2"/>
  <c r="I35" i="2"/>
  <c r="H35" i="2"/>
  <c r="E35" i="2" s="1"/>
  <c r="G35" i="2"/>
  <c r="D35" i="2"/>
  <c r="C35" i="2"/>
  <c r="B35" i="2"/>
  <c r="K34" i="2"/>
  <c r="J34" i="2"/>
  <c r="I34" i="2"/>
  <c r="H34" i="2"/>
  <c r="G34" i="2"/>
  <c r="E34" i="2" s="1"/>
  <c r="D61" i="3" s="1"/>
  <c r="D34" i="2"/>
  <c r="C34" i="2"/>
  <c r="B34" i="2"/>
  <c r="K33" i="2"/>
  <c r="J33" i="2"/>
  <c r="E33" i="2" s="1"/>
  <c r="I33" i="2"/>
  <c r="H33" i="2"/>
  <c r="G33" i="2"/>
  <c r="D33" i="2"/>
  <c r="C33" i="2"/>
  <c r="B33" i="2"/>
  <c r="K32" i="2"/>
  <c r="J32" i="2"/>
  <c r="I32" i="2"/>
  <c r="H32" i="2"/>
  <c r="E32" i="2" s="1"/>
  <c r="G32" i="2"/>
  <c r="D32" i="2"/>
  <c r="C32" i="2"/>
  <c r="B32" i="2"/>
  <c r="K31" i="2"/>
  <c r="J31" i="2"/>
  <c r="I31" i="2"/>
  <c r="H31" i="2"/>
  <c r="G31" i="2"/>
  <c r="E31" i="2" s="1"/>
  <c r="D58" i="3" s="1"/>
  <c r="F31" i="2"/>
  <c r="D31" i="2"/>
  <c r="C31" i="2"/>
  <c r="B31" i="2"/>
  <c r="K30" i="2"/>
  <c r="J30" i="2"/>
  <c r="I30" i="2"/>
  <c r="H30" i="2"/>
  <c r="G30" i="2"/>
  <c r="I5" i="2"/>
  <c r="H7" i="6" s="1"/>
  <c r="H5" i="2"/>
  <c r="G7" i="6" s="1"/>
  <c r="G5" i="2"/>
  <c r="F7" i="6" s="1"/>
  <c r="F5" i="2"/>
  <c r="E7" i="6" s="1"/>
  <c r="E5" i="2"/>
  <c r="D7" i="6" s="1"/>
  <c r="D68" i="3" l="1"/>
  <c r="F90" i="4"/>
  <c r="C40" i="3"/>
  <c r="C6" i="8" s="1"/>
  <c r="I13" i="8"/>
  <c r="F10" i="8"/>
  <c r="E9" i="8"/>
  <c r="H12" i="8"/>
  <c r="G11" i="8"/>
  <c r="D8" i="8"/>
  <c r="J14" i="8"/>
  <c r="F81" i="4"/>
  <c r="F53" i="4"/>
  <c r="F60" i="4"/>
  <c r="F39" i="4"/>
  <c r="F25" i="4"/>
  <c r="F18" i="4"/>
  <c r="F46" i="4"/>
  <c r="F74" i="4"/>
  <c r="F67" i="4"/>
  <c r="E91" i="4"/>
  <c r="E59" i="3"/>
  <c r="F32" i="2"/>
  <c r="G59" i="3"/>
  <c r="F59" i="3"/>
  <c r="E98" i="4"/>
  <c r="F98" i="4" s="1"/>
  <c r="E66" i="3"/>
  <c r="G66" i="3"/>
  <c r="F66" i="3"/>
  <c r="F39" i="2"/>
  <c r="G67" i="3"/>
  <c r="E99" i="4"/>
  <c r="F99" i="4" s="1"/>
  <c r="E67" i="3"/>
  <c r="F67" i="3"/>
  <c r="O35" i="3"/>
  <c r="C49" i="3" s="1"/>
  <c r="L10" i="8"/>
  <c r="K9" i="8"/>
  <c r="N12" i="8"/>
  <c r="M11" i="8"/>
  <c r="J8" i="8"/>
  <c r="D67" i="3"/>
  <c r="C86" i="6"/>
  <c r="C44" i="6"/>
  <c r="C30" i="6"/>
  <c r="O30" i="6" s="1"/>
  <c r="C72" i="6"/>
  <c r="C58" i="6"/>
  <c r="I86" i="6"/>
  <c r="I44" i="6"/>
  <c r="I30" i="6"/>
  <c r="I58" i="6"/>
  <c r="I72" i="6"/>
  <c r="P12" i="4"/>
  <c r="F87" i="6"/>
  <c r="F45" i="6"/>
  <c r="F59" i="6"/>
  <c r="F31" i="6"/>
  <c r="F73" i="6"/>
  <c r="L87" i="6"/>
  <c r="L59" i="6"/>
  <c r="L45" i="6"/>
  <c r="L73" i="6"/>
  <c r="L31" i="6"/>
  <c r="E93" i="4"/>
  <c r="F93" i="4" s="1"/>
  <c r="G61" i="3"/>
  <c r="E61" i="3"/>
  <c r="F61" i="3"/>
  <c r="C61" i="3"/>
  <c r="L79" i="6"/>
  <c r="L51" i="6"/>
  <c r="L37" i="6"/>
  <c r="L23" i="6"/>
  <c r="L65" i="6"/>
  <c r="F97" i="4"/>
  <c r="E95" i="4"/>
  <c r="F95" i="4" s="1"/>
  <c r="E63" i="3"/>
  <c r="G63" i="3"/>
  <c r="F63" i="3"/>
  <c r="F36" i="2"/>
  <c r="C78" i="6"/>
  <c r="C36" i="6"/>
  <c r="C22" i="6"/>
  <c r="C50" i="6"/>
  <c r="C64" i="6"/>
  <c r="I78" i="6"/>
  <c r="I36" i="6"/>
  <c r="I64" i="6"/>
  <c r="I22" i="6"/>
  <c r="I50" i="6"/>
  <c r="F35" i="2"/>
  <c r="E62" i="3"/>
  <c r="G62" i="3"/>
  <c r="E94" i="4"/>
  <c r="F94" i="4" s="1"/>
  <c r="F62" i="3"/>
  <c r="C60" i="3"/>
  <c r="C68" i="3" s="1"/>
  <c r="C62" i="3"/>
  <c r="C64" i="3"/>
  <c r="E40" i="3"/>
  <c r="E6" i="8" s="1"/>
  <c r="K40" i="3"/>
  <c r="K6" i="8" s="1"/>
  <c r="N14" i="8"/>
  <c r="M13" i="8"/>
  <c r="J10" i="8"/>
  <c r="I9" i="8"/>
  <c r="K11" i="8"/>
  <c r="H8" i="8"/>
  <c r="L12" i="8"/>
  <c r="C84" i="6"/>
  <c r="C42" i="6"/>
  <c r="C70" i="6"/>
  <c r="C28" i="6"/>
  <c r="C56" i="6"/>
  <c r="I84" i="6"/>
  <c r="I70" i="6"/>
  <c r="I42" i="6"/>
  <c r="I28" i="6"/>
  <c r="I56" i="6"/>
  <c r="P10" i="4"/>
  <c r="F85" i="6"/>
  <c r="F71" i="6"/>
  <c r="F43" i="6"/>
  <c r="F57" i="6"/>
  <c r="F29" i="6"/>
  <c r="L85" i="6"/>
  <c r="L57" i="6"/>
  <c r="L43" i="6"/>
  <c r="L29" i="6"/>
  <c r="L71" i="6"/>
  <c r="H11" i="9"/>
  <c r="E8" i="9"/>
  <c r="J13" i="9"/>
  <c r="G10" i="9"/>
  <c r="F9" i="9"/>
  <c r="I12" i="9"/>
  <c r="K14" i="9"/>
  <c r="N11" i="9"/>
  <c r="K8" i="9"/>
  <c r="M10" i="9"/>
  <c r="L9" i="9"/>
  <c r="G60" i="3"/>
  <c r="E92" i="4"/>
  <c r="F92" i="4" s="1"/>
  <c r="F60" i="3"/>
  <c r="F33" i="2"/>
  <c r="E60" i="3"/>
  <c r="F79" i="6"/>
  <c r="F37" i="6"/>
  <c r="F65" i="6"/>
  <c r="F51" i="6"/>
  <c r="F60" i="6" s="1"/>
  <c r="G97" i="6" s="1"/>
  <c r="F23" i="6"/>
  <c r="L81" i="4"/>
  <c r="L53" i="4"/>
  <c r="L39" i="4"/>
  <c r="L67" i="4"/>
  <c r="L46" i="4"/>
  <c r="L18" i="4"/>
  <c r="L60" i="4"/>
  <c r="L25" i="4"/>
  <c r="L74" i="4"/>
  <c r="L83" i="6"/>
  <c r="L55" i="6"/>
  <c r="L41" i="6"/>
  <c r="L27" i="6"/>
  <c r="L69" i="6"/>
  <c r="N78" i="6"/>
  <c r="N50" i="6"/>
  <c r="N64" i="6"/>
  <c r="N22" i="6"/>
  <c r="N36" i="6"/>
  <c r="F91" i="4"/>
  <c r="F96" i="4"/>
  <c r="N14" i="9"/>
  <c r="J10" i="9"/>
  <c r="I9" i="9"/>
  <c r="L12" i="9"/>
  <c r="M13" i="9"/>
  <c r="K11" i="9"/>
  <c r="H8" i="9"/>
  <c r="J14" i="9"/>
  <c r="I13" i="9"/>
  <c r="F10" i="9"/>
  <c r="E9" i="9"/>
  <c r="G11" i="9"/>
  <c r="D8" i="9"/>
  <c r="H12" i="9"/>
  <c r="E4" i="12"/>
  <c r="D60" i="3"/>
  <c r="L10" i="9"/>
  <c r="K9" i="9"/>
  <c r="M11" i="9"/>
  <c r="J8" i="9"/>
  <c r="N12" i="9"/>
  <c r="E96" i="4"/>
  <c r="G64" i="3"/>
  <c r="E64" i="3"/>
  <c r="F64" i="3"/>
  <c r="I40" i="3"/>
  <c r="I6" i="8" s="1"/>
  <c r="E97" i="4"/>
  <c r="F38" i="2"/>
  <c r="G65" i="3"/>
  <c r="F65" i="3"/>
  <c r="E65" i="3"/>
  <c r="L14" i="8"/>
  <c r="I11" i="8"/>
  <c r="F8" i="8"/>
  <c r="J12" i="8"/>
  <c r="H10" i="8"/>
  <c r="K13" i="8"/>
  <c r="G9" i="8"/>
  <c r="L8" i="8"/>
  <c r="N10" i="8"/>
  <c r="M9" i="8"/>
  <c r="D65" i="3"/>
  <c r="C82" i="6"/>
  <c r="C40" i="6"/>
  <c r="C68" i="6"/>
  <c r="C26" i="6"/>
  <c r="C54" i="6"/>
  <c r="I82" i="6"/>
  <c r="I40" i="6"/>
  <c r="I26" i="6"/>
  <c r="I54" i="6"/>
  <c r="I68" i="6"/>
  <c r="F83" i="6"/>
  <c r="F41" i="6"/>
  <c r="F55" i="6"/>
  <c r="F27" i="6"/>
  <c r="F69" i="6"/>
  <c r="E90" i="4"/>
  <c r="G58" i="3"/>
  <c r="G68" i="3" s="1"/>
  <c r="E58" i="3"/>
  <c r="F58" i="3"/>
  <c r="F34" i="2"/>
  <c r="G40" i="3"/>
  <c r="G6" i="8" s="1"/>
  <c r="M40" i="3"/>
  <c r="M6" i="8" s="1"/>
  <c r="O33" i="3"/>
  <c r="C47" i="3" s="1"/>
  <c r="D4" i="12"/>
  <c r="C80" i="6"/>
  <c r="C38" i="6"/>
  <c r="C24" i="6"/>
  <c r="C66" i="6"/>
  <c r="C52" i="6"/>
  <c r="I80" i="6"/>
  <c r="I38" i="6"/>
  <c r="I66" i="6"/>
  <c r="I24" i="6"/>
  <c r="I52" i="6"/>
  <c r="P6" i="4"/>
  <c r="F81" i="6"/>
  <c r="F39" i="6"/>
  <c r="F67" i="6"/>
  <c r="F53" i="6"/>
  <c r="F25" i="6"/>
  <c r="L81" i="6"/>
  <c r="L67" i="6"/>
  <c r="L53" i="6"/>
  <c r="L39" i="6"/>
  <c r="L25" i="6"/>
  <c r="F32" i="4"/>
  <c r="J18" i="5"/>
  <c r="I6" i="9" s="1"/>
  <c r="C4" i="12"/>
  <c r="G53" i="4"/>
  <c r="G60" i="4"/>
  <c r="D78" i="6"/>
  <c r="D50" i="6"/>
  <c r="D64" i="6"/>
  <c r="D22" i="6"/>
  <c r="G79" i="6"/>
  <c r="G51" i="6"/>
  <c r="G65" i="6"/>
  <c r="G23" i="6"/>
  <c r="D80" i="6"/>
  <c r="D52" i="6"/>
  <c r="D66" i="6"/>
  <c r="D24" i="6"/>
  <c r="D82" i="6"/>
  <c r="D54" i="6"/>
  <c r="D68" i="6"/>
  <c r="D26" i="6"/>
  <c r="M85" i="6"/>
  <c r="M57" i="6"/>
  <c r="M71" i="6"/>
  <c r="M29" i="6"/>
  <c r="G59" i="6"/>
  <c r="G87" i="6"/>
  <c r="G73" i="6"/>
  <c r="G31" i="6"/>
  <c r="M87" i="6"/>
  <c r="C17" i="3"/>
  <c r="C20" i="3"/>
  <c r="C23" i="3"/>
  <c r="C26" i="3"/>
  <c r="H53" i="4"/>
  <c r="H60" i="4"/>
  <c r="H67" i="4"/>
  <c r="N53" i="4"/>
  <c r="N60" i="4"/>
  <c r="N67" i="4"/>
  <c r="E64" i="6"/>
  <c r="E50" i="6"/>
  <c r="E36" i="6"/>
  <c r="K64" i="6"/>
  <c r="K78" i="6"/>
  <c r="K50" i="6"/>
  <c r="K60" i="6" s="1"/>
  <c r="L97" i="6" s="1"/>
  <c r="K36" i="6"/>
  <c r="H65" i="6"/>
  <c r="H51" i="6"/>
  <c r="H79" i="6"/>
  <c r="H37" i="6"/>
  <c r="N65" i="6"/>
  <c r="N79" i="6"/>
  <c r="N37" i="6"/>
  <c r="E66" i="6"/>
  <c r="E52" i="6"/>
  <c r="E80" i="6"/>
  <c r="E38" i="6"/>
  <c r="K66" i="6"/>
  <c r="K80" i="6"/>
  <c r="K52" i="6"/>
  <c r="K38" i="6"/>
  <c r="H67" i="6"/>
  <c r="H53" i="6"/>
  <c r="H81" i="6"/>
  <c r="H39" i="6"/>
  <c r="N67" i="6"/>
  <c r="N39" i="6"/>
  <c r="E68" i="6"/>
  <c r="E54" i="6"/>
  <c r="E82" i="6"/>
  <c r="E40" i="6"/>
  <c r="K68" i="6"/>
  <c r="K54" i="6"/>
  <c r="K40" i="6"/>
  <c r="H69" i="6"/>
  <c r="H83" i="6"/>
  <c r="H55" i="6"/>
  <c r="H41" i="6"/>
  <c r="H46" i="6" s="1"/>
  <c r="I96" i="6" s="1"/>
  <c r="N69" i="6"/>
  <c r="N83" i="6"/>
  <c r="N41" i="6"/>
  <c r="E70" i="6"/>
  <c r="E56" i="6"/>
  <c r="E84" i="6"/>
  <c r="E42" i="6"/>
  <c r="K70" i="6"/>
  <c r="K84" i="6"/>
  <c r="K56" i="6"/>
  <c r="K42" i="6"/>
  <c r="H71" i="6"/>
  <c r="H57" i="6"/>
  <c r="H43" i="6"/>
  <c r="N71" i="6"/>
  <c r="N43" i="6"/>
  <c r="E72" i="6"/>
  <c r="E58" i="6"/>
  <c r="E44" i="6"/>
  <c r="K86" i="6"/>
  <c r="K72" i="6"/>
  <c r="K58" i="6"/>
  <c r="K44" i="6"/>
  <c r="C99" i="4"/>
  <c r="C82" i="4"/>
  <c r="C83" i="4" s="1"/>
  <c r="C84" i="4" s="1"/>
  <c r="C85" i="4" s="1"/>
  <c r="H87" i="6"/>
  <c r="H73" i="6"/>
  <c r="H59" i="6"/>
  <c r="H45" i="6"/>
  <c r="N87" i="6"/>
  <c r="N73" i="6"/>
  <c r="N45" i="6"/>
  <c r="G18" i="4"/>
  <c r="M18" i="4"/>
  <c r="G25" i="4"/>
  <c r="M25" i="4"/>
  <c r="H32" i="4"/>
  <c r="N32" i="4"/>
  <c r="B39" i="4"/>
  <c r="I39" i="4"/>
  <c r="D46" i="4"/>
  <c r="J46" i="4"/>
  <c r="C47" i="4"/>
  <c r="C48" i="4" s="1"/>
  <c r="C49" i="4" s="1"/>
  <c r="C50" i="4" s="1"/>
  <c r="E53" i="4"/>
  <c r="G67" i="4"/>
  <c r="N74" i="4"/>
  <c r="C90" i="4"/>
  <c r="P8" i="5"/>
  <c r="D15" i="5"/>
  <c r="P15" i="5" s="1"/>
  <c r="N23" i="6"/>
  <c r="N25" i="6"/>
  <c r="N27" i="6"/>
  <c r="N29" i="6"/>
  <c r="N31" i="6"/>
  <c r="N42" i="6"/>
  <c r="M43" i="6"/>
  <c r="N53" i="6"/>
  <c r="N57" i="6"/>
  <c r="N81" i="6"/>
  <c r="E86" i="6"/>
  <c r="P13" i="5"/>
  <c r="M79" i="6"/>
  <c r="M51" i="6"/>
  <c r="M65" i="6"/>
  <c r="M23" i="6"/>
  <c r="M32" i="6" s="1"/>
  <c r="N95" i="6" s="1"/>
  <c r="J80" i="6"/>
  <c r="J52" i="6"/>
  <c r="J66" i="6"/>
  <c r="J24" i="6"/>
  <c r="M81" i="6"/>
  <c r="M53" i="6"/>
  <c r="M67" i="6"/>
  <c r="M25" i="6"/>
  <c r="J82" i="6"/>
  <c r="J54" i="6"/>
  <c r="J68" i="6"/>
  <c r="J26" i="6"/>
  <c r="G83" i="6"/>
  <c r="G55" i="6"/>
  <c r="G69" i="6"/>
  <c r="G27" i="6"/>
  <c r="J84" i="6"/>
  <c r="J56" i="6"/>
  <c r="J70" i="6"/>
  <c r="J28" i="6"/>
  <c r="D86" i="6"/>
  <c r="D58" i="6"/>
  <c r="D72" i="6"/>
  <c r="D30" i="6"/>
  <c r="M59" i="6"/>
  <c r="M73" i="6"/>
  <c r="M31" i="6"/>
  <c r="H18" i="5"/>
  <c r="G6" i="9" s="1"/>
  <c r="J38" i="6"/>
  <c r="J40" i="6"/>
  <c r="J42" i="6"/>
  <c r="I60" i="4"/>
  <c r="I67" i="4"/>
  <c r="I74" i="4"/>
  <c r="O60" i="4"/>
  <c r="O67" i="4"/>
  <c r="O74" i="4"/>
  <c r="F64" i="6"/>
  <c r="F22" i="6"/>
  <c r="F36" i="6"/>
  <c r="F78" i="6"/>
  <c r="L64" i="6"/>
  <c r="L22" i="6"/>
  <c r="L78" i="6"/>
  <c r="L50" i="6"/>
  <c r="L36" i="6"/>
  <c r="C65" i="6"/>
  <c r="C23" i="6"/>
  <c r="C37" i="6"/>
  <c r="C51" i="6"/>
  <c r="I65" i="6"/>
  <c r="I23" i="6"/>
  <c r="I79" i="6"/>
  <c r="I37" i="6"/>
  <c r="P5" i="4"/>
  <c r="F66" i="6"/>
  <c r="F24" i="6"/>
  <c r="F80" i="6"/>
  <c r="F38" i="6"/>
  <c r="L66" i="6"/>
  <c r="L24" i="6"/>
  <c r="L52" i="6"/>
  <c r="L38" i="6"/>
  <c r="C67" i="6"/>
  <c r="O67" i="6" s="1"/>
  <c r="C25" i="6"/>
  <c r="C39" i="6"/>
  <c r="C81" i="6"/>
  <c r="C53" i="6"/>
  <c r="I67" i="6"/>
  <c r="I25" i="6"/>
  <c r="I81" i="6"/>
  <c r="I39" i="6"/>
  <c r="P7" i="4"/>
  <c r="F68" i="6"/>
  <c r="F26" i="6"/>
  <c r="F82" i="6"/>
  <c r="F40" i="6"/>
  <c r="L68" i="6"/>
  <c r="L82" i="6"/>
  <c r="L26" i="6"/>
  <c r="L54" i="6"/>
  <c r="L40" i="6"/>
  <c r="C69" i="6"/>
  <c r="C27" i="6"/>
  <c r="C83" i="6"/>
  <c r="C41" i="6"/>
  <c r="C55" i="6"/>
  <c r="I69" i="6"/>
  <c r="I27" i="6"/>
  <c r="I41" i="6"/>
  <c r="P9" i="4"/>
  <c r="F70" i="6"/>
  <c r="F28" i="6"/>
  <c r="F42" i="6"/>
  <c r="L70" i="6"/>
  <c r="L28" i="6"/>
  <c r="L56" i="6"/>
  <c r="L42" i="6"/>
  <c r="C71" i="6"/>
  <c r="C29" i="6"/>
  <c r="C85" i="6"/>
  <c r="C43" i="6"/>
  <c r="C57" i="6"/>
  <c r="I71" i="6"/>
  <c r="I85" i="6"/>
  <c r="I29" i="6"/>
  <c r="I43" i="6"/>
  <c r="P11" i="4"/>
  <c r="F72" i="6"/>
  <c r="F86" i="6"/>
  <c r="F30" i="6"/>
  <c r="F44" i="6"/>
  <c r="L72" i="6"/>
  <c r="L30" i="6"/>
  <c r="L58" i="6"/>
  <c r="L44" i="6"/>
  <c r="C87" i="6"/>
  <c r="C73" i="6"/>
  <c r="O73" i="6" s="1"/>
  <c r="C31" i="6"/>
  <c r="C45" i="6"/>
  <c r="C59" i="6"/>
  <c r="I73" i="6"/>
  <c r="I87" i="6"/>
  <c r="I31" i="6"/>
  <c r="I45" i="6"/>
  <c r="P13" i="4"/>
  <c r="H18" i="4"/>
  <c r="N18" i="4"/>
  <c r="H25" i="4"/>
  <c r="N25" i="4"/>
  <c r="B32" i="4"/>
  <c r="I32" i="4"/>
  <c r="O32" i="4"/>
  <c r="D39" i="4"/>
  <c r="C40" i="4"/>
  <c r="C41" i="4" s="1"/>
  <c r="C42" i="4" s="1"/>
  <c r="C43" i="4" s="1"/>
  <c r="K46" i="4"/>
  <c r="I53" i="4"/>
  <c r="D60" i="4"/>
  <c r="C61" i="4"/>
  <c r="C62" i="4" s="1"/>
  <c r="C63" i="4" s="1"/>
  <c r="C64" i="4" s="1"/>
  <c r="M81" i="4"/>
  <c r="B91" i="4"/>
  <c r="C98" i="4"/>
  <c r="P14" i="5"/>
  <c r="M18" i="5"/>
  <c r="L6" i="9" s="1"/>
  <c r="F52" i="6"/>
  <c r="F56" i="6"/>
  <c r="L86" i="6"/>
  <c r="B13" i="12"/>
  <c r="D49" i="7"/>
  <c r="J78" i="6"/>
  <c r="J50" i="6"/>
  <c r="J64" i="6"/>
  <c r="J22" i="6"/>
  <c r="G81" i="6"/>
  <c r="G53" i="6"/>
  <c r="G67" i="6"/>
  <c r="G25" i="6"/>
  <c r="G32" i="6" s="1"/>
  <c r="H95" i="6" s="1"/>
  <c r="M83" i="6"/>
  <c r="M55" i="6"/>
  <c r="M69" i="6"/>
  <c r="M27" i="6"/>
  <c r="J67" i="4"/>
  <c r="J74" i="4"/>
  <c r="J81" i="4"/>
  <c r="M66" i="6"/>
  <c r="M80" i="6"/>
  <c r="M52" i="6"/>
  <c r="M38" i="6"/>
  <c r="D67" i="6"/>
  <c r="D81" i="6"/>
  <c r="D53" i="6"/>
  <c r="D39" i="6"/>
  <c r="J67" i="6"/>
  <c r="J81" i="6"/>
  <c r="J53" i="6"/>
  <c r="J39" i="6"/>
  <c r="G68" i="6"/>
  <c r="G82" i="6"/>
  <c r="G54" i="6"/>
  <c r="G40" i="6"/>
  <c r="D69" i="6"/>
  <c r="D83" i="6"/>
  <c r="D55" i="6"/>
  <c r="D41" i="6"/>
  <c r="J69" i="6"/>
  <c r="J83" i="6"/>
  <c r="J55" i="6"/>
  <c r="J41" i="6"/>
  <c r="G70" i="6"/>
  <c r="G84" i="6"/>
  <c r="G56" i="6"/>
  <c r="G42" i="6"/>
  <c r="M70" i="6"/>
  <c r="M84" i="6"/>
  <c r="M56" i="6"/>
  <c r="M42" i="6"/>
  <c r="D71" i="6"/>
  <c r="D85" i="6"/>
  <c r="D57" i="6"/>
  <c r="D43" i="6"/>
  <c r="J71" i="6"/>
  <c r="J85" i="6"/>
  <c r="J57" i="6"/>
  <c r="J43" i="6"/>
  <c r="B98" i="4"/>
  <c r="B74" i="4"/>
  <c r="G72" i="6"/>
  <c r="G86" i="6"/>
  <c r="G58" i="6"/>
  <c r="G44" i="6"/>
  <c r="M72" i="6"/>
  <c r="M58" i="6"/>
  <c r="M44" i="6"/>
  <c r="M86" i="6"/>
  <c r="D73" i="6"/>
  <c r="D59" i="6"/>
  <c r="D45" i="6"/>
  <c r="J73" i="6"/>
  <c r="J87" i="6"/>
  <c r="J59" i="6"/>
  <c r="J45" i="6"/>
  <c r="J32" i="4"/>
  <c r="J53" i="4"/>
  <c r="G74" i="4"/>
  <c r="B96" i="4"/>
  <c r="P17" i="5"/>
  <c r="P9" i="5"/>
  <c r="N18" i="5"/>
  <c r="M6" i="9" s="1"/>
  <c r="I51" i="6"/>
  <c r="I55" i="6"/>
  <c r="I59" i="6"/>
  <c r="E78" i="6"/>
  <c r="E88" i="6" s="1"/>
  <c r="F99" i="6" s="1"/>
  <c r="H85" i="6"/>
  <c r="P5" i="5"/>
  <c r="G18" i="5"/>
  <c r="F6" i="9" s="1"/>
  <c r="M53" i="4"/>
  <c r="M60" i="4"/>
  <c r="D84" i="6"/>
  <c r="D56" i="6"/>
  <c r="D70" i="6"/>
  <c r="D28" i="6"/>
  <c r="G85" i="6"/>
  <c r="G57" i="6"/>
  <c r="G71" i="6"/>
  <c r="G29" i="6"/>
  <c r="J58" i="6"/>
  <c r="J86" i="6"/>
  <c r="J72" i="6"/>
  <c r="J30" i="6"/>
  <c r="G32" i="4"/>
  <c r="M74" i="4"/>
  <c r="O30" i="3"/>
  <c r="D67" i="4"/>
  <c r="D74" i="4"/>
  <c r="D81" i="4"/>
  <c r="G64" i="6"/>
  <c r="G74" i="6" s="1"/>
  <c r="H98" i="6" s="1"/>
  <c r="G78" i="6"/>
  <c r="G50" i="6"/>
  <c r="G36" i="6"/>
  <c r="G46" i="6" s="1"/>
  <c r="H96" i="6" s="1"/>
  <c r="M64" i="6"/>
  <c r="M78" i="6"/>
  <c r="M50" i="6"/>
  <c r="M36" i="6"/>
  <c r="D65" i="6"/>
  <c r="D79" i="6"/>
  <c r="O79" i="6" s="1"/>
  <c r="D51" i="6"/>
  <c r="D37" i="6"/>
  <c r="J65" i="6"/>
  <c r="J79" i="6"/>
  <c r="J51" i="6"/>
  <c r="J37" i="6"/>
  <c r="J46" i="6" s="1"/>
  <c r="K96" i="6" s="1"/>
  <c r="G66" i="6"/>
  <c r="G80" i="6"/>
  <c r="G52" i="6"/>
  <c r="G38" i="6"/>
  <c r="M68" i="6"/>
  <c r="M82" i="6"/>
  <c r="M54" i="6"/>
  <c r="M40" i="6"/>
  <c r="E74" i="4"/>
  <c r="E81" i="4"/>
  <c r="K74" i="4"/>
  <c r="K81" i="4"/>
  <c r="H78" i="6"/>
  <c r="H50" i="6"/>
  <c r="H64" i="6"/>
  <c r="H22" i="6"/>
  <c r="E79" i="6"/>
  <c r="E51" i="6"/>
  <c r="E65" i="6"/>
  <c r="E23" i="6"/>
  <c r="K79" i="6"/>
  <c r="K51" i="6"/>
  <c r="K65" i="6"/>
  <c r="K23" i="6"/>
  <c r="K32" i="6" s="1"/>
  <c r="L95" i="6" s="1"/>
  <c r="H80" i="6"/>
  <c r="H52" i="6"/>
  <c r="H66" i="6"/>
  <c r="H24" i="6"/>
  <c r="N80" i="6"/>
  <c r="N52" i="6"/>
  <c r="N24" i="6"/>
  <c r="E81" i="6"/>
  <c r="E53" i="6"/>
  <c r="E67" i="6"/>
  <c r="E25" i="6"/>
  <c r="K81" i="6"/>
  <c r="K53" i="6"/>
  <c r="K25" i="6"/>
  <c r="H82" i="6"/>
  <c r="H54" i="6"/>
  <c r="H68" i="6"/>
  <c r="H26" i="6"/>
  <c r="N82" i="6"/>
  <c r="N54" i="6"/>
  <c r="N68" i="6"/>
  <c r="N26" i="6"/>
  <c r="E83" i="6"/>
  <c r="E55" i="6"/>
  <c r="E69" i="6"/>
  <c r="E27" i="6"/>
  <c r="K83" i="6"/>
  <c r="K55" i="6"/>
  <c r="K69" i="6"/>
  <c r="K27" i="6"/>
  <c r="H84" i="6"/>
  <c r="H56" i="6"/>
  <c r="H28" i="6"/>
  <c r="N84" i="6"/>
  <c r="N56" i="6"/>
  <c r="N28" i="6"/>
  <c r="E85" i="6"/>
  <c r="E57" i="6"/>
  <c r="E29" i="6"/>
  <c r="K85" i="6"/>
  <c r="K57" i="6"/>
  <c r="K29" i="6"/>
  <c r="H86" i="6"/>
  <c r="H58" i="6"/>
  <c r="H72" i="6"/>
  <c r="H30" i="6"/>
  <c r="N86" i="6"/>
  <c r="N58" i="6"/>
  <c r="N72" i="6"/>
  <c r="N30" i="6"/>
  <c r="E87" i="6"/>
  <c r="E59" i="6"/>
  <c r="E73" i="6"/>
  <c r="E31" i="6"/>
  <c r="K87" i="6"/>
  <c r="K59" i="6"/>
  <c r="K73" i="6"/>
  <c r="K31" i="6"/>
  <c r="D18" i="4"/>
  <c r="J18" i="4"/>
  <c r="D25" i="4"/>
  <c r="J25" i="4"/>
  <c r="E32" i="4"/>
  <c r="K32" i="4"/>
  <c r="G46" i="4"/>
  <c r="M46" i="4"/>
  <c r="K53" i="4"/>
  <c r="M67" i="4"/>
  <c r="H74" i="4"/>
  <c r="B81" i="4"/>
  <c r="O81" i="4"/>
  <c r="D18" i="5"/>
  <c r="C6" i="9" s="1"/>
  <c r="C45" i="5"/>
  <c r="C46" i="5" s="1"/>
  <c r="C47" i="5" s="1"/>
  <c r="C48" i="5" s="1"/>
  <c r="E22" i="6"/>
  <c r="D23" i="6"/>
  <c r="E24" i="6"/>
  <c r="D25" i="6"/>
  <c r="E26" i="6"/>
  <c r="D27" i="6"/>
  <c r="E28" i="6"/>
  <c r="D29" i="6"/>
  <c r="E30" i="6"/>
  <c r="D31" i="6"/>
  <c r="D36" i="6"/>
  <c r="D46" i="6" s="1"/>
  <c r="E96" i="6" s="1"/>
  <c r="E37" i="6"/>
  <c r="D38" i="6"/>
  <c r="E39" i="6"/>
  <c r="D40" i="6"/>
  <c r="E41" i="6"/>
  <c r="D42" i="6"/>
  <c r="E43" i="6"/>
  <c r="D44" i="6"/>
  <c r="E45" i="6"/>
  <c r="N51" i="6"/>
  <c r="N55" i="6"/>
  <c r="N59" i="6"/>
  <c r="L80" i="6"/>
  <c r="K82" i="6"/>
  <c r="N85" i="6"/>
  <c r="E103" i="6"/>
  <c r="E44" i="5"/>
  <c r="E51" i="5" s="1"/>
  <c r="E37" i="5"/>
  <c r="E30" i="5"/>
  <c r="E23" i="5"/>
  <c r="K103" i="6"/>
  <c r="K44" i="5"/>
  <c r="K51" i="5" s="1"/>
  <c r="K37" i="5"/>
  <c r="K30" i="5"/>
  <c r="K23" i="5"/>
  <c r="D16" i="5"/>
  <c r="P16" i="5" s="1"/>
  <c r="P6" i="5"/>
  <c r="E8" i="12"/>
  <c r="D12" i="11"/>
  <c r="E12" i="11" s="1"/>
  <c r="H12" i="11" s="1"/>
  <c r="E28" i="14" s="1"/>
  <c r="E29" i="14" s="1"/>
  <c r="D11" i="11"/>
  <c r="E11" i="11" s="1"/>
  <c r="H11" i="11" s="1"/>
  <c r="D28" i="14" s="1"/>
  <c r="D29" i="14" s="1"/>
  <c r="K13" i="14"/>
  <c r="H20" i="11"/>
  <c r="M28" i="14" s="1"/>
  <c r="M29" i="14" s="1"/>
  <c r="N12" i="14"/>
  <c r="B23" i="14"/>
  <c r="B15" i="17"/>
  <c r="O6" i="7"/>
  <c r="C20" i="7" s="1"/>
  <c r="B8" i="12" s="1"/>
  <c r="C12" i="12"/>
  <c r="E48" i="7"/>
  <c r="C15" i="12"/>
  <c r="E51" i="7"/>
  <c r="H10" i="11"/>
  <c r="C28" i="14" s="1"/>
  <c r="B10" i="12"/>
  <c r="D46" i="7"/>
  <c r="H13" i="14"/>
  <c r="H14" i="14"/>
  <c r="E5" i="17"/>
  <c r="C13" i="14"/>
  <c r="C14" i="14" s="1"/>
  <c r="I13" i="14"/>
  <c r="O33" i="7"/>
  <c r="C47" i="7" s="1"/>
  <c r="K4" i="10"/>
  <c r="K24" i="10" s="1"/>
  <c r="G27" i="7" s="1"/>
  <c r="F4" i="10"/>
  <c r="F24" i="10" s="1"/>
  <c r="C13" i="7" s="1"/>
  <c r="J4" i="10"/>
  <c r="J24" i="10" s="1"/>
  <c r="F27" i="7" s="1"/>
  <c r="I4" i="10"/>
  <c r="F14" i="14"/>
  <c r="L14" i="14"/>
  <c r="F8" i="12"/>
  <c r="C45" i="7"/>
  <c r="G13" i="14"/>
  <c r="G14" i="14" s="1"/>
  <c r="M13" i="14"/>
  <c r="M14" i="14" s="1"/>
  <c r="G4" i="10"/>
  <c r="G24" i="10" s="1"/>
  <c r="C27" i="7" s="1"/>
  <c r="H5" i="10"/>
  <c r="H24" i="10" s="1"/>
  <c r="D27" i="7" s="1"/>
  <c r="C8" i="12" s="1"/>
  <c r="C14" i="11"/>
  <c r="E16" i="11"/>
  <c r="I5" i="10"/>
  <c r="C13" i="11"/>
  <c r="B22" i="11"/>
  <c r="E21" i="11"/>
  <c r="C12" i="11"/>
  <c r="F12" i="11" s="1"/>
  <c r="E19" i="11"/>
  <c r="H19" i="11" s="1"/>
  <c r="L28" i="14" s="1"/>
  <c r="L29" i="14" s="1"/>
  <c r="N10" i="14"/>
  <c r="N9" i="14"/>
  <c r="I14" i="14"/>
  <c r="E14" i="14"/>
  <c r="K14" i="14"/>
  <c r="D13" i="11" l="1"/>
  <c r="E13" i="11" s="1"/>
  <c r="H13" i="11" s="1"/>
  <c r="F28" i="14" s="1"/>
  <c r="F29" i="14" s="1"/>
  <c r="F13" i="11"/>
  <c r="L104" i="6"/>
  <c r="L26" i="5"/>
  <c r="K105" i="6"/>
  <c r="K33" i="5"/>
  <c r="H104" i="6"/>
  <c r="H26" i="5"/>
  <c r="I105" i="6"/>
  <c r="I33" i="5"/>
  <c r="N14" i="14"/>
  <c r="N104" i="6"/>
  <c r="N26" i="5"/>
  <c r="G106" i="6"/>
  <c r="G40" i="5"/>
  <c r="E105" i="6"/>
  <c r="E33" i="5"/>
  <c r="H105" i="6"/>
  <c r="H33" i="5"/>
  <c r="F46" i="6"/>
  <c r="G96" i="6" s="1"/>
  <c r="L106" i="6"/>
  <c r="L40" i="5"/>
  <c r="M12" i="9"/>
  <c r="N13" i="9"/>
  <c r="K10" i="9"/>
  <c r="J9" i="9"/>
  <c r="J15" i="9" s="1"/>
  <c r="I6" i="14" s="1"/>
  <c r="L11" i="9"/>
  <c r="I8" i="9"/>
  <c r="O40" i="6"/>
  <c r="O70" i="6"/>
  <c r="H11" i="8"/>
  <c r="E8" i="8"/>
  <c r="I12" i="8"/>
  <c r="K14" i="8"/>
  <c r="G10" i="8"/>
  <c r="F9" i="8"/>
  <c r="J13" i="8"/>
  <c r="I74" i="6"/>
  <c r="J98" i="6" s="1"/>
  <c r="O36" i="6"/>
  <c r="C46" i="6"/>
  <c r="D96" i="6" s="1"/>
  <c r="C5" i="12"/>
  <c r="C6" i="12" s="1"/>
  <c r="D18" i="7"/>
  <c r="D12" i="12"/>
  <c r="F48" i="7"/>
  <c r="B16" i="15"/>
  <c r="B10" i="16" s="1"/>
  <c r="B12" i="16" s="1"/>
  <c r="N23" i="14"/>
  <c r="G60" i="6"/>
  <c r="H97" i="6" s="1"/>
  <c r="C29" i="14"/>
  <c r="H32" i="6"/>
  <c r="I95" i="6" s="1"/>
  <c r="M46" i="6"/>
  <c r="N96" i="6" s="1"/>
  <c r="G88" i="6"/>
  <c r="H99" i="6" s="1"/>
  <c r="O40" i="3"/>
  <c r="C44" i="3"/>
  <c r="C54" i="3" s="1"/>
  <c r="J74" i="6"/>
  <c r="K98" i="6" s="1"/>
  <c r="O41" i="6"/>
  <c r="O53" i="6"/>
  <c r="O51" i="6"/>
  <c r="L88" i="6"/>
  <c r="M99" i="6" s="1"/>
  <c r="F74" i="6"/>
  <c r="G98" i="6" s="1"/>
  <c r="P18" i="5"/>
  <c r="K74" i="6"/>
  <c r="L98" i="6" s="1"/>
  <c r="D32" i="6"/>
  <c r="E95" i="6" s="1"/>
  <c r="O24" i="6"/>
  <c r="E68" i="3"/>
  <c r="N32" i="6"/>
  <c r="O95" i="6" s="1"/>
  <c r="O84" i="6"/>
  <c r="I88" i="6"/>
  <c r="J99" i="6" s="1"/>
  <c r="O86" i="6"/>
  <c r="N13" i="14"/>
  <c r="H74" i="6"/>
  <c r="I98" i="6" s="1"/>
  <c r="H107" i="6"/>
  <c r="H47" i="5"/>
  <c r="O59" i="6"/>
  <c r="L32" i="6"/>
  <c r="M95" i="6" s="1"/>
  <c r="E46" i="6"/>
  <c r="F96" i="6" s="1"/>
  <c r="O38" i="6"/>
  <c r="F5" i="12"/>
  <c r="F6" i="12" s="1"/>
  <c r="G18" i="7"/>
  <c r="G28" i="7" s="1"/>
  <c r="O54" i="6"/>
  <c r="D15" i="9"/>
  <c r="C6" i="14" s="1"/>
  <c r="N74" i="6"/>
  <c r="O98" i="6" s="1"/>
  <c r="C74" i="6"/>
  <c r="D98" i="6" s="1"/>
  <c r="O64" i="6"/>
  <c r="F100" i="4"/>
  <c r="B6" i="17" s="1"/>
  <c r="B23" i="11"/>
  <c r="E22" i="11"/>
  <c r="H22" i="11" s="1"/>
  <c r="B9" i="12"/>
  <c r="D45" i="7"/>
  <c r="I24" i="10"/>
  <c r="E27" i="7" s="1"/>
  <c r="D8" i="12" s="1"/>
  <c r="E32" i="6"/>
  <c r="F95" i="6" s="1"/>
  <c r="H60" i="6"/>
  <c r="I97" i="6" s="1"/>
  <c r="M88" i="6"/>
  <c r="N99" i="6" s="1"/>
  <c r="M8" i="9"/>
  <c r="M15" i="9" s="1"/>
  <c r="L6" i="14" s="1"/>
  <c r="N9" i="9"/>
  <c r="N15" i="9" s="1"/>
  <c r="M6" i="14" s="1"/>
  <c r="J88" i="6"/>
  <c r="K99" i="6" s="1"/>
  <c r="N10" i="9"/>
  <c r="M9" i="9"/>
  <c r="L8" i="9"/>
  <c r="L15" i="9" s="1"/>
  <c r="K6" i="14" s="1"/>
  <c r="O45" i="6"/>
  <c r="O43" i="6"/>
  <c r="O27" i="6"/>
  <c r="O39" i="6"/>
  <c r="O23" i="6"/>
  <c r="L74" i="6"/>
  <c r="M98" i="6" s="1"/>
  <c r="E60" i="6"/>
  <c r="F97" i="6" s="1"/>
  <c r="D60" i="6"/>
  <c r="E97" i="6" s="1"/>
  <c r="O80" i="6"/>
  <c r="N9" i="8"/>
  <c r="M8" i="8"/>
  <c r="O26" i="6"/>
  <c r="F15" i="8"/>
  <c r="E4" i="14" s="1"/>
  <c r="N60" i="6"/>
  <c r="O97" i="6" s="1"/>
  <c r="O56" i="6"/>
  <c r="I60" i="6"/>
  <c r="J97" i="6" s="1"/>
  <c r="C60" i="6"/>
  <c r="D97" i="6" s="1"/>
  <c r="O50" i="6"/>
  <c r="O60" i="6" s="1"/>
  <c r="O58" i="6"/>
  <c r="B11" i="12"/>
  <c r="D47" i="7"/>
  <c r="G12" i="9"/>
  <c r="H13" i="9"/>
  <c r="O13" i="9" s="1"/>
  <c r="E10" i="9"/>
  <c r="E15" i="9" s="1"/>
  <c r="D6" i="14" s="1"/>
  <c r="D9" i="9"/>
  <c r="I14" i="9"/>
  <c r="F11" i="9"/>
  <c r="C8" i="9"/>
  <c r="O6" i="9"/>
  <c r="F108" i="6"/>
  <c r="F54" i="5"/>
  <c r="O29" i="6"/>
  <c r="J11" i="9"/>
  <c r="G8" i="9"/>
  <c r="G15" i="9" s="1"/>
  <c r="F6" i="14" s="1"/>
  <c r="K12" i="9"/>
  <c r="K15" i="9" s="1"/>
  <c r="J6" i="14" s="1"/>
  <c r="M14" i="9"/>
  <c r="I10" i="9"/>
  <c r="L13" i="9"/>
  <c r="H9" i="9"/>
  <c r="H15" i="9" s="1"/>
  <c r="G6" i="14" s="1"/>
  <c r="H21" i="11"/>
  <c r="C10" i="12"/>
  <c r="E46" i="7"/>
  <c r="M60" i="6"/>
  <c r="N97" i="6" s="1"/>
  <c r="K13" i="9"/>
  <c r="H10" i="9"/>
  <c r="G9" i="9"/>
  <c r="J12" i="9"/>
  <c r="L14" i="9"/>
  <c r="I11" i="9"/>
  <c r="F8" i="9"/>
  <c r="J60" i="6"/>
  <c r="K97" i="6" s="1"/>
  <c r="O57" i="6"/>
  <c r="O83" i="6"/>
  <c r="O81" i="6"/>
  <c r="O37" i="6"/>
  <c r="D74" i="6"/>
  <c r="E98" i="6" s="1"/>
  <c r="H16" i="11"/>
  <c r="I28" i="14" s="1"/>
  <c r="I29" i="14" s="1"/>
  <c r="D15" i="12"/>
  <c r="F51" i="7"/>
  <c r="H88" i="6"/>
  <c r="I99" i="6" s="1"/>
  <c r="M74" i="6"/>
  <c r="N98" i="6" s="1"/>
  <c r="E49" i="7"/>
  <c r="C13" i="12"/>
  <c r="O31" i="6"/>
  <c r="O85" i="6"/>
  <c r="O69" i="6"/>
  <c r="O25" i="6"/>
  <c r="O65" i="6"/>
  <c r="F88" i="6"/>
  <c r="G99" i="6" s="1"/>
  <c r="K46" i="6"/>
  <c r="L96" i="6" s="1"/>
  <c r="E74" i="6"/>
  <c r="F98" i="6" s="1"/>
  <c r="D88" i="6"/>
  <c r="E99" i="6" s="1"/>
  <c r="K12" i="8"/>
  <c r="L13" i="8"/>
  <c r="I10" i="8"/>
  <c r="H9" i="8"/>
  <c r="H15" i="8" s="1"/>
  <c r="G4" i="14" s="1"/>
  <c r="M14" i="8"/>
  <c r="J11" i="8"/>
  <c r="G8" i="8"/>
  <c r="O68" i="6"/>
  <c r="N88" i="6"/>
  <c r="O99" i="6" s="1"/>
  <c r="O28" i="6"/>
  <c r="N11" i="8"/>
  <c r="K8" i="8"/>
  <c r="K15" i="8" s="1"/>
  <c r="J4" i="14" s="1"/>
  <c r="M10" i="8"/>
  <c r="L9" i="8"/>
  <c r="L15" i="8" s="1"/>
  <c r="K4" i="14" s="1"/>
  <c r="I32" i="6"/>
  <c r="J95" i="6" s="1"/>
  <c r="O22" i="6"/>
  <c r="C32" i="6"/>
  <c r="D95" i="6" s="1"/>
  <c r="O72" i="6"/>
  <c r="J15" i="8"/>
  <c r="I4" i="14" s="1"/>
  <c r="D13" i="7"/>
  <c r="E13" i="7" s="1"/>
  <c r="F13" i="7" s="1"/>
  <c r="G13" i="7" s="1"/>
  <c r="H13" i="7" s="1"/>
  <c r="I13" i="7" s="1"/>
  <c r="J13" i="7" s="1"/>
  <c r="K13" i="7" s="1"/>
  <c r="L13" i="7" s="1"/>
  <c r="M13" i="7" s="1"/>
  <c r="N13" i="7" s="1"/>
  <c r="L46" i="6"/>
  <c r="M96" i="6" s="1"/>
  <c r="O52" i="6"/>
  <c r="L11" i="8"/>
  <c r="I8" i="8"/>
  <c r="N13" i="8"/>
  <c r="K10" i="8"/>
  <c r="J9" i="8"/>
  <c r="M12" i="8"/>
  <c r="F11" i="8"/>
  <c r="O11" i="8" s="1"/>
  <c r="C8" i="8"/>
  <c r="O6" i="8"/>
  <c r="I14" i="8"/>
  <c r="E10" i="8"/>
  <c r="D9" i="8"/>
  <c r="H13" i="8"/>
  <c r="G12" i="8"/>
  <c r="O12" i="8" s="1"/>
  <c r="J32" i="6"/>
  <c r="K95" i="6" s="1"/>
  <c r="O87" i="6"/>
  <c r="O71" i="6"/>
  <c r="O55" i="6"/>
  <c r="L60" i="6"/>
  <c r="M97" i="6" s="1"/>
  <c r="F32" i="6"/>
  <c r="G95" i="6" s="1"/>
  <c r="K88" i="6"/>
  <c r="L99" i="6" s="1"/>
  <c r="O66" i="6"/>
  <c r="F68" i="3"/>
  <c r="O82" i="6"/>
  <c r="N46" i="6"/>
  <c r="O96" i="6" s="1"/>
  <c r="O42" i="6"/>
  <c r="I46" i="6"/>
  <c r="J96" i="6" s="1"/>
  <c r="C88" i="6"/>
  <c r="D99" i="6" s="1"/>
  <c r="O78" i="6"/>
  <c r="O44" i="6"/>
  <c r="F107" i="6" l="1"/>
  <c r="F47" i="5"/>
  <c r="O104" i="6"/>
  <c r="O26" i="5"/>
  <c r="B4" i="12"/>
  <c r="B36" i="13"/>
  <c r="G105" i="6"/>
  <c r="G33" i="5"/>
  <c r="O105" i="6"/>
  <c r="O33" i="5"/>
  <c r="G108" i="6"/>
  <c r="G54" i="5"/>
  <c r="O11" i="9"/>
  <c r="J106" i="6"/>
  <c r="J40" i="5"/>
  <c r="M107" i="6"/>
  <c r="M47" i="5"/>
  <c r="O9" i="8"/>
  <c r="P95" i="6"/>
  <c r="D104" i="6"/>
  <c r="D26" i="5"/>
  <c r="D27" i="5" s="1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D59" i="5" s="1"/>
  <c r="F59" i="5" s="1"/>
  <c r="D13" i="12"/>
  <c r="F49" i="7"/>
  <c r="O14" i="9"/>
  <c r="N15" i="8"/>
  <c r="M4" i="14" s="1"/>
  <c r="I106" i="6"/>
  <c r="I40" i="5"/>
  <c r="P98" i="6"/>
  <c r="D107" i="6"/>
  <c r="D47" i="5"/>
  <c r="D48" i="5" s="1"/>
  <c r="J108" i="6"/>
  <c r="J54" i="5"/>
  <c r="E104" i="6"/>
  <c r="E26" i="5"/>
  <c r="N105" i="6"/>
  <c r="N109" i="6" s="1"/>
  <c r="M4" i="7" s="1"/>
  <c r="N33" i="5"/>
  <c r="H106" i="6"/>
  <c r="H40" i="5"/>
  <c r="O46" i="6"/>
  <c r="H109" i="6"/>
  <c r="G4" i="7" s="1"/>
  <c r="F14" i="11"/>
  <c r="D14" i="11"/>
  <c r="J105" i="6"/>
  <c r="J33" i="5"/>
  <c r="K104" i="6"/>
  <c r="K26" i="5"/>
  <c r="O108" i="6"/>
  <c r="O54" i="5"/>
  <c r="E15" i="12"/>
  <c r="G51" i="7"/>
  <c r="F15" i="12" s="1"/>
  <c r="M104" i="6"/>
  <c r="M26" i="5"/>
  <c r="O13" i="8"/>
  <c r="D10" i="12"/>
  <c r="F46" i="7"/>
  <c r="M15" i="8"/>
  <c r="L4" i="14" s="1"/>
  <c r="N108" i="6"/>
  <c r="N54" i="5"/>
  <c r="O88" i="6"/>
  <c r="E5" i="12"/>
  <c r="E6" i="12" s="1"/>
  <c r="F18" i="7"/>
  <c r="O10" i="8"/>
  <c r="M33" i="5"/>
  <c r="M105" i="6"/>
  <c r="O32" i="6"/>
  <c r="G15" i="8"/>
  <c r="F4" i="14" s="1"/>
  <c r="N107" i="6"/>
  <c r="N47" i="5"/>
  <c r="K106" i="6"/>
  <c r="K40" i="5"/>
  <c r="O9" i="9"/>
  <c r="O106" i="6"/>
  <c r="O40" i="5"/>
  <c r="F104" i="6"/>
  <c r="F109" i="6" s="1"/>
  <c r="E4" i="7" s="1"/>
  <c r="F26" i="5"/>
  <c r="I47" i="5"/>
  <c r="I107" i="6"/>
  <c r="L107" i="6"/>
  <c r="L47" i="5"/>
  <c r="I104" i="6"/>
  <c r="I109" i="6" s="1"/>
  <c r="H4" i="7" s="1"/>
  <c r="I26" i="5"/>
  <c r="J107" i="6"/>
  <c r="J47" i="5"/>
  <c r="E15" i="8"/>
  <c r="D4" i="14" s="1"/>
  <c r="I15" i="9"/>
  <c r="H6" i="14" s="1"/>
  <c r="B7" i="15"/>
  <c r="L108" i="6"/>
  <c r="L54" i="5"/>
  <c r="N106" i="6"/>
  <c r="N40" i="5"/>
  <c r="E106" i="6"/>
  <c r="E40" i="5"/>
  <c r="B24" i="11"/>
  <c r="E23" i="11"/>
  <c r="G107" i="6"/>
  <c r="G47" i="5"/>
  <c r="M106" i="6"/>
  <c r="M40" i="5"/>
  <c r="E47" i="7"/>
  <c r="C11" i="12"/>
  <c r="O74" i="6"/>
  <c r="H108" i="6"/>
  <c r="H54" i="5"/>
  <c r="P96" i="6"/>
  <c r="D105" i="6"/>
  <c r="D33" i="5"/>
  <c r="D34" i="5" s="1"/>
  <c r="E34" i="5" s="1"/>
  <c r="P99" i="6"/>
  <c r="D108" i="6"/>
  <c r="D54" i="5"/>
  <c r="D55" i="5" s="1"/>
  <c r="E55" i="5" s="1"/>
  <c r="F55" i="5" s="1"/>
  <c r="G55" i="5" s="1"/>
  <c r="H55" i="5" s="1"/>
  <c r="I55" i="5" s="1"/>
  <c r="J55" i="5" s="1"/>
  <c r="K55" i="5" s="1"/>
  <c r="L55" i="5" s="1"/>
  <c r="M55" i="5" s="1"/>
  <c r="N55" i="5" s="1"/>
  <c r="O55" i="5" s="1"/>
  <c r="D63" i="5" s="1"/>
  <c r="F63" i="5" s="1"/>
  <c r="O14" i="8"/>
  <c r="O13" i="7"/>
  <c r="B16" i="17" s="1"/>
  <c r="B17" i="17" s="1"/>
  <c r="J104" i="6"/>
  <c r="J26" i="5"/>
  <c r="E108" i="6"/>
  <c r="E54" i="5"/>
  <c r="I108" i="6"/>
  <c r="I54" i="5"/>
  <c r="E107" i="6"/>
  <c r="E47" i="5"/>
  <c r="F15" i="9"/>
  <c r="E6" i="14" s="1"/>
  <c r="O10" i="9"/>
  <c r="K108" i="6"/>
  <c r="K54" i="5"/>
  <c r="O107" i="6"/>
  <c r="O47" i="5"/>
  <c r="F105" i="6"/>
  <c r="F33" i="5"/>
  <c r="K107" i="6"/>
  <c r="K47" i="5"/>
  <c r="D28" i="7"/>
  <c r="G104" i="6"/>
  <c r="G109" i="6" s="1"/>
  <c r="F4" i="7" s="1"/>
  <c r="G26" i="5"/>
  <c r="O8" i="8"/>
  <c r="C15" i="8"/>
  <c r="B4" i="14" s="1"/>
  <c r="I15" i="8"/>
  <c r="H4" i="14" s="1"/>
  <c r="L105" i="6"/>
  <c r="L109" i="6" s="1"/>
  <c r="K4" i="7" s="1"/>
  <c r="L33" i="5"/>
  <c r="C15" i="9"/>
  <c r="B6" i="14" s="1"/>
  <c r="O8" i="9"/>
  <c r="O12" i="9"/>
  <c r="D106" i="6"/>
  <c r="P97" i="6"/>
  <c r="D40" i="5"/>
  <c r="D41" i="5" s="1"/>
  <c r="F106" i="6"/>
  <c r="F40" i="5"/>
  <c r="C9" i="12"/>
  <c r="E45" i="7"/>
  <c r="C7" i="15"/>
  <c r="D5" i="12"/>
  <c r="D6" i="12" s="1"/>
  <c r="E18" i="7"/>
  <c r="M108" i="6"/>
  <c r="M54" i="5"/>
  <c r="E12" i="12"/>
  <c r="G48" i="7"/>
  <c r="D15" i="8"/>
  <c r="C4" i="14" s="1"/>
  <c r="K36" i="7" l="1"/>
  <c r="K41" i="7" s="1"/>
  <c r="J17" i="14" s="1"/>
  <c r="K14" i="7"/>
  <c r="J16" i="14" s="1"/>
  <c r="J19" i="14" s="1"/>
  <c r="J21" i="14" s="1"/>
  <c r="J31" i="14" s="1"/>
  <c r="M36" i="7"/>
  <c r="M41" i="7" s="1"/>
  <c r="L17" i="14" s="1"/>
  <c r="M14" i="7"/>
  <c r="L16" i="14" s="1"/>
  <c r="L19" i="14" s="1"/>
  <c r="D9" i="12"/>
  <c r="F45" i="7"/>
  <c r="D7" i="15"/>
  <c r="L21" i="14"/>
  <c r="L31" i="14" s="1"/>
  <c r="E36" i="7"/>
  <c r="E41" i="7" s="1"/>
  <c r="D17" i="14" s="1"/>
  <c r="E14" i="7"/>
  <c r="D16" i="14" s="1"/>
  <c r="D19" i="14" s="1"/>
  <c r="D21" i="14" s="1"/>
  <c r="D31" i="14" s="1"/>
  <c r="N4" i="14"/>
  <c r="F34" i="5"/>
  <c r="G34" i="5" s="1"/>
  <c r="H34" i="5" s="1"/>
  <c r="I34" i="5" s="1"/>
  <c r="J34" i="5" s="1"/>
  <c r="K34" i="5" s="1"/>
  <c r="L34" i="5" s="1"/>
  <c r="M34" i="5" s="1"/>
  <c r="N34" i="5" s="1"/>
  <c r="O34" i="5" s="1"/>
  <c r="D60" i="5" s="1"/>
  <c r="F60" i="5" s="1"/>
  <c r="M109" i="6"/>
  <c r="L4" i="7" s="1"/>
  <c r="E48" i="5"/>
  <c r="F48" i="5" s="1"/>
  <c r="G48" i="5" s="1"/>
  <c r="H48" i="5" s="1"/>
  <c r="I48" i="5" s="1"/>
  <c r="J48" i="5" s="1"/>
  <c r="K48" i="5" s="1"/>
  <c r="L48" i="5" s="1"/>
  <c r="M48" i="5" s="1"/>
  <c r="N48" i="5" s="1"/>
  <c r="O48" i="5" s="1"/>
  <c r="D62" i="5" s="1"/>
  <c r="F62" i="5" s="1"/>
  <c r="F12" i="12"/>
  <c r="N6" i="14"/>
  <c r="H23" i="11"/>
  <c r="K109" i="6"/>
  <c r="J4" i="7" s="1"/>
  <c r="P107" i="6"/>
  <c r="E13" i="12"/>
  <c r="G49" i="7"/>
  <c r="F13" i="12" s="1"/>
  <c r="F36" i="7"/>
  <c r="F41" i="7" s="1"/>
  <c r="E17" i="14" s="1"/>
  <c r="E19" i="14" s="1"/>
  <c r="E21" i="14" s="1"/>
  <c r="E31" i="14" s="1"/>
  <c r="F14" i="7"/>
  <c r="E16" i="14" s="1"/>
  <c r="H36" i="7"/>
  <c r="H41" i="7" s="1"/>
  <c r="G17" i="14" s="1"/>
  <c r="H14" i="7"/>
  <c r="G16" i="14" s="1"/>
  <c r="G19" i="14" s="1"/>
  <c r="G21" i="14" s="1"/>
  <c r="F15" i="11"/>
  <c r="D15" i="11"/>
  <c r="E15" i="11" s="1"/>
  <c r="H15" i="11" s="1"/>
  <c r="H28" i="14" s="1"/>
  <c r="H29" i="14" s="1"/>
  <c r="E28" i="7"/>
  <c r="O15" i="9"/>
  <c r="O17" i="9" s="1"/>
  <c r="J109" i="6"/>
  <c r="I4" i="7" s="1"/>
  <c r="F28" i="7"/>
  <c r="E10" i="12"/>
  <c r="G46" i="7"/>
  <c r="F10" i="12" s="1"/>
  <c r="G36" i="7"/>
  <c r="G41" i="7" s="1"/>
  <c r="F17" i="14" s="1"/>
  <c r="G14" i="7"/>
  <c r="F16" i="14" s="1"/>
  <c r="F19" i="14" s="1"/>
  <c r="F21" i="14" s="1"/>
  <c r="F31" i="14" s="1"/>
  <c r="O109" i="6"/>
  <c r="N4" i="7" s="1"/>
  <c r="O15" i="8"/>
  <c r="O17" i="8" s="1"/>
  <c r="P105" i="6"/>
  <c r="D11" i="12"/>
  <c r="F47" i="7"/>
  <c r="E41" i="5"/>
  <c r="F41" i="5" s="1"/>
  <c r="G41" i="5" s="1"/>
  <c r="H41" i="5" s="1"/>
  <c r="I41" i="5" s="1"/>
  <c r="J41" i="5" s="1"/>
  <c r="K41" i="5" s="1"/>
  <c r="L41" i="5" s="1"/>
  <c r="M41" i="5" s="1"/>
  <c r="N41" i="5" s="1"/>
  <c r="O41" i="5" s="1"/>
  <c r="D61" i="5" s="1"/>
  <c r="F61" i="5" s="1"/>
  <c r="F64" i="5" s="1"/>
  <c r="B7" i="17" s="1"/>
  <c r="B25" i="11"/>
  <c r="E24" i="11"/>
  <c r="H24" i="11" s="1"/>
  <c r="E109" i="6"/>
  <c r="D4" i="7" s="1"/>
  <c r="B46" i="13"/>
  <c r="P106" i="6"/>
  <c r="P108" i="6"/>
  <c r="E14" i="11"/>
  <c r="P104" i="6"/>
  <c r="D109" i="6"/>
  <c r="C4" i="7" s="1"/>
  <c r="E9" i="12" l="1"/>
  <c r="G45" i="7"/>
  <c r="E7" i="15"/>
  <c r="P109" i="6"/>
  <c r="B5" i="17"/>
  <c r="O18" i="8"/>
  <c r="B26" i="11"/>
  <c r="E25" i="11"/>
  <c r="J36" i="7"/>
  <c r="J41" i="7" s="1"/>
  <c r="I17" i="14" s="1"/>
  <c r="J14" i="7"/>
  <c r="I16" i="14" s="1"/>
  <c r="I19" i="14" s="1"/>
  <c r="I21" i="14" s="1"/>
  <c r="I31" i="14" s="1"/>
  <c r="C36" i="7"/>
  <c r="C14" i="7"/>
  <c r="B16" i="14" s="1"/>
  <c r="O4" i="7"/>
  <c r="L36" i="7"/>
  <c r="L41" i="7" s="1"/>
  <c r="K17" i="14" s="1"/>
  <c r="L14" i="7"/>
  <c r="K16" i="14" s="1"/>
  <c r="H14" i="11"/>
  <c r="G28" i="14" s="1"/>
  <c r="L20" i="11"/>
  <c r="N36" i="7"/>
  <c r="N41" i="7" s="1"/>
  <c r="M17" i="14" s="1"/>
  <c r="N14" i="7"/>
  <c r="M16" i="14" s="1"/>
  <c r="M19" i="14" s="1"/>
  <c r="M21" i="14" s="1"/>
  <c r="M31" i="14" s="1"/>
  <c r="B6" i="15"/>
  <c r="C6" i="16"/>
  <c r="B4" i="15"/>
  <c r="E4" i="17"/>
  <c r="O18" i="9"/>
  <c r="E11" i="12"/>
  <c r="G47" i="7"/>
  <c r="F11" i="12" s="1"/>
  <c r="D36" i="7"/>
  <c r="D41" i="7" s="1"/>
  <c r="C17" i="14" s="1"/>
  <c r="D14" i="7"/>
  <c r="C16" i="14" s="1"/>
  <c r="C19" i="14" s="1"/>
  <c r="C21" i="14" s="1"/>
  <c r="C31" i="14" s="1"/>
  <c r="I36" i="7"/>
  <c r="I41" i="7" s="1"/>
  <c r="H17" i="14" s="1"/>
  <c r="I14" i="7"/>
  <c r="H16" i="14" s="1"/>
  <c r="H19" i="14" s="1"/>
  <c r="H21" i="14" s="1"/>
  <c r="H31" i="14" s="1"/>
  <c r="F16" i="11"/>
  <c r="D16" i="11"/>
  <c r="C16" i="11" s="1"/>
  <c r="N16" i="14" l="1"/>
  <c r="B27" i="11"/>
  <c r="E26" i="11"/>
  <c r="H26" i="11" s="1"/>
  <c r="H25" i="11"/>
  <c r="G29" i="14"/>
  <c r="N28" i="14"/>
  <c r="B21" i="15" s="1"/>
  <c r="B22" i="15" s="1"/>
  <c r="K19" i="14"/>
  <c r="K21" i="14" s="1"/>
  <c r="K31" i="14" s="1"/>
  <c r="G6" i="16"/>
  <c r="F6" i="16"/>
  <c r="E6" i="16"/>
  <c r="E4" i="15"/>
  <c r="D4" i="15"/>
  <c r="F4" i="15"/>
  <c r="C4" i="15"/>
  <c r="D6" i="16"/>
  <c r="D6" i="15"/>
  <c r="F6" i="15"/>
  <c r="E6" i="15"/>
  <c r="C18" i="7"/>
  <c r="O14" i="7"/>
  <c r="C6" i="15"/>
  <c r="O36" i="7"/>
  <c r="C41" i="7"/>
  <c r="B17" i="14" s="1"/>
  <c r="N17" i="14" s="1"/>
  <c r="B9" i="15" s="1"/>
  <c r="F9" i="12"/>
  <c r="F7" i="15"/>
  <c r="D17" i="11"/>
  <c r="C17" i="11" s="1"/>
  <c r="F17" i="11" s="1"/>
  <c r="D18" i="11" l="1"/>
  <c r="C18" i="11" s="1"/>
  <c r="F18" i="11" s="1"/>
  <c r="C50" i="7"/>
  <c r="O41" i="7"/>
  <c r="N29" i="14"/>
  <c r="G31" i="14"/>
  <c r="B28" i="11"/>
  <c r="E27" i="11"/>
  <c r="H27" i="11" s="1"/>
  <c r="B19" i="14"/>
  <c r="B21" i="14" s="1"/>
  <c r="B37" i="13"/>
  <c r="B38" i="13" s="1"/>
  <c r="B5" i="12"/>
  <c r="B6" i="12" s="1"/>
  <c r="C28" i="7"/>
  <c r="B8" i="15"/>
  <c r="B12" i="15" s="1"/>
  <c r="N19" i="14"/>
  <c r="D19" i="11" l="1"/>
  <c r="C19" i="11" s="1"/>
  <c r="F19" i="11" s="1"/>
  <c r="B29" i="11"/>
  <c r="E28" i="11"/>
  <c r="H28" i="11" s="1"/>
  <c r="C7" i="16"/>
  <c r="C8" i="16" s="1"/>
  <c r="C12" i="16" s="1"/>
  <c r="B14" i="15"/>
  <c r="B24" i="15" s="1"/>
  <c r="B28" i="15" s="1"/>
  <c r="B14" i="12"/>
  <c r="B19" i="12" s="1"/>
  <c r="B21" i="12" s="1"/>
  <c r="D50" i="7"/>
  <c r="C55" i="7"/>
  <c r="N21" i="14"/>
  <c r="N31" i="14" s="1"/>
  <c r="B31" i="14"/>
  <c r="B35" i="14" s="1"/>
  <c r="C35" i="14" s="1"/>
  <c r="D35" i="14" s="1"/>
  <c r="E35" i="14" s="1"/>
  <c r="F35" i="14" s="1"/>
  <c r="G35" i="14" s="1"/>
  <c r="H35" i="14" s="1"/>
  <c r="I35" i="14" s="1"/>
  <c r="J35" i="14" s="1"/>
  <c r="K35" i="14" s="1"/>
  <c r="L35" i="14" s="1"/>
  <c r="M35" i="14" s="1"/>
  <c r="B4" i="17" s="1"/>
  <c r="B8" i="17" s="1"/>
  <c r="B19" i="17" s="1"/>
  <c r="B5" i="18" l="1"/>
  <c r="C5" i="18" s="1"/>
  <c r="D20" i="11"/>
  <c r="C14" i="12"/>
  <c r="C19" i="12" s="1"/>
  <c r="C21" i="12" s="1"/>
  <c r="E50" i="7"/>
  <c r="C9" i="15"/>
  <c r="D55" i="7"/>
  <c r="B30" i="11"/>
  <c r="E29" i="11"/>
  <c r="H29" i="11" s="1"/>
  <c r="C20" i="11" l="1"/>
  <c r="F20" i="11" s="1"/>
  <c r="K20" i="11"/>
  <c r="B24" i="12" s="1"/>
  <c r="B31" i="11"/>
  <c r="E30" i="11"/>
  <c r="H30" i="11" s="1"/>
  <c r="D14" i="12"/>
  <c r="D19" i="12" s="1"/>
  <c r="D21" i="12" s="1"/>
  <c r="F50" i="7"/>
  <c r="D9" i="15"/>
  <c r="E55" i="7"/>
  <c r="B32" i="11" l="1"/>
  <c r="E31" i="11"/>
  <c r="H31" i="11" s="1"/>
  <c r="E14" i="12"/>
  <c r="E19" i="12" s="1"/>
  <c r="E21" i="12" s="1"/>
  <c r="G50" i="7"/>
  <c r="E9" i="15"/>
  <c r="F55" i="7"/>
  <c r="B39" i="13"/>
  <c r="B26" i="12"/>
  <c r="E9" i="17"/>
  <c r="E10" i="17" s="1"/>
  <c r="D21" i="11"/>
  <c r="B28" i="12" l="1"/>
  <c r="B30" i="12"/>
  <c r="E16" i="17" s="1"/>
  <c r="E17" i="17" s="1"/>
  <c r="B47" i="13"/>
  <c r="B48" i="13"/>
  <c r="C48" i="13" s="1"/>
  <c r="D48" i="13" s="1"/>
  <c r="E48" i="13" s="1"/>
  <c r="B41" i="13"/>
  <c r="C21" i="11"/>
  <c r="F21" i="11" s="1"/>
  <c r="F14" i="12"/>
  <c r="F19" i="12" s="1"/>
  <c r="F21" i="12" s="1"/>
  <c r="F9" i="15"/>
  <c r="G55" i="7"/>
  <c r="E32" i="11"/>
  <c r="B33" i="11"/>
  <c r="D22" i="11" l="1"/>
  <c r="B34" i="11"/>
  <c r="E33" i="11"/>
  <c r="H32" i="11"/>
  <c r="L32" i="11"/>
  <c r="C21" i="15" s="1"/>
  <c r="C22" i="15" s="1"/>
  <c r="D45" i="13"/>
  <c r="B42" i="13"/>
  <c r="B4" i="13" s="1"/>
  <c r="B3" i="13"/>
  <c r="C10" i="15"/>
  <c r="C12" i="15" s="1"/>
  <c r="E6" i="17"/>
  <c r="E7" i="17" s="1"/>
  <c r="E12" i="17" s="1"/>
  <c r="E19" i="17" s="1"/>
  <c r="D7" i="16" l="1"/>
  <c r="D8" i="16" s="1"/>
  <c r="D12" i="16" s="1"/>
  <c r="C14" i="15"/>
  <c r="C24" i="15" s="1"/>
  <c r="C28" i="15" s="1"/>
  <c r="B35" i="11"/>
  <c r="E34" i="11"/>
  <c r="H34" i="11" s="1"/>
  <c r="C22" i="11"/>
  <c r="F22" i="11" s="1"/>
  <c r="H33" i="11"/>
  <c r="D46" i="13"/>
  <c r="C45" i="13"/>
  <c r="E45" i="13"/>
  <c r="D47" i="13"/>
  <c r="B6" i="18" l="1"/>
  <c r="C6" i="18" s="1"/>
  <c r="E46" i="13"/>
  <c r="E47" i="13"/>
  <c r="D23" i="11"/>
  <c r="C46" i="13"/>
  <c r="C47" i="13"/>
  <c r="B36" i="11"/>
  <c r="E35" i="11"/>
  <c r="C23" i="11" l="1"/>
  <c r="F23" i="11" s="1"/>
  <c r="H35" i="11"/>
  <c r="B37" i="11"/>
  <c r="E36" i="11"/>
  <c r="H36" i="11" s="1"/>
  <c r="B38" i="11" l="1"/>
  <c r="E37" i="11"/>
  <c r="H37" i="11" s="1"/>
  <c r="D24" i="11"/>
  <c r="B39" i="11" l="1"/>
  <c r="E38" i="11"/>
  <c r="H38" i="11" s="1"/>
  <c r="C24" i="11"/>
  <c r="F24" i="11" s="1"/>
  <c r="D25" i="11" l="1"/>
  <c r="B40" i="11"/>
  <c r="E39" i="11"/>
  <c r="H39" i="11" s="1"/>
  <c r="B41" i="11" l="1"/>
  <c r="E40" i="11"/>
  <c r="H40" i="11" s="1"/>
  <c r="C25" i="11"/>
  <c r="F25" i="11" s="1"/>
  <c r="D26" i="11" l="1"/>
  <c r="C26" i="11" s="1"/>
  <c r="F26" i="11" s="1"/>
  <c r="B42" i="11"/>
  <c r="E41" i="11"/>
  <c r="H41" i="11" s="1"/>
  <c r="D27" i="11" l="1"/>
  <c r="C27" i="11" s="1"/>
  <c r="F27" i="11" s="1"/>
  <c r="B43" i="11"/>
  <c r="E42" i="11"/>
  <c r="H42" i="11" s="1"/>
  <c r="D28" i="11" l="1"/>
  <c r="C28" i="11" s="1"/>
  <c r="F28" i="11" s="1"/>
  <c r="B44" i="11"/>
  <c r="E43" i="11"/>
  <c r="H43" i="11" s="1"/>
  <c r="D29" i="11" l="1"/>
  <c r="C29" i="11" s="1"/>
  <c r="F29" i="11" s="1"/>
  <c r="B45" i="11"/>
  <c r="E44" i="11"/>
  <c r="D30" i="11" l="1"/>
  <c r="C30" i="11" s="1"/>
  <c r="F30" i="11" s="1"/>
  <c r="H44" i="11"/>
  <c r="L44" i="11"/>
  <c r="D21" i="15" s="1"/>
  <c r="D22" i="15" s="1"/>
  <c r="B46" i="11"/>
  <c r="E45" i="11"/>
  <c r="D31" i="11" l="1"/>
  <c r="C31" i="11" s="1"/>
  <c r="F31" i="11" s="1"/>
  <c r="B47" i="11"/>
  <c r="E46" i="11"/>
  <c r="H46" i="11" s="1"/>
  <c r="H45" i="11"/>
  <c r="D32" i="11" l="1"/>
  <c r="B48" i="11"/>
  <c r="E47" i="11"/>
  <c r="H47" i="11" l="1"/>
  <c r="B49" i="11"/>
  <c r="E48" i="11"/>
  <c r="H48" i="11" s="1"/>
  <c r="C32" i="11"/>
  <c r="F32" i="11" s="1"/>
  <c r="K32" i="11"/>
  <c r="C24" i="12" s="1"/>
  <c r="C26" i="12" s="1"/>
  <c r="D33" i="11" l="1"/>
  <c r="B50" i="11"/>
  <c r="E49" i="11"/>
  <c r="C28" i="12"/>
  <c r="D10" i="15" s="1"/>
  <c r="D12" i="15" s="1"/>
  <c r="H49" i="11" l="1"/>
  <c r="B51" i="11"/>
  <c r="E50" i="11"/>
  <c r="H50" i="11" s="1"/>
  <c r="C33" i="11"/>
  <c r="F33" i="11" s="1"/>
  <c r="E7" i="16"/>
  <c r="E8" i="16" s="1"/>
  <c r="E12" i="16" s="1"/>
  <c r="D14" i="15"/>
  <c r="D24" i="15" s="1"/>
  <c r="D28" i="15" s="1"/>
  <c r="C30" i="12"/>
  <c r="B7" i="18" l="1"/>
  <c r="C7" i="18" s="1"/>
  <c r="B52" i="11"/>
  <c r="E51" i="11"/>
  <c r="D34" i="11"/>
  <c r="H51" i="11" l="1"/>
  <c r="C34" i="11"/>
  <c r="F34" i="11" s="1"/>
  <c r="B53" i="11"/>
  <c r="E52" i="11"/>
  <c r="H52" i="11" s="1"/>
  <c r="B54" i="11" l="1"/>
  <c r="E53" i="11"/>
  <c r="D35" i="11"/>
  <c r="C35" i="11" l="1"/>
  <c r="F35" i="11" s="1"/>
  <c r="H53" i="11"/>
  <c r="E54" i="11"/>
  <c r="H54" i="11" s="1"/>
  <c r="B55" i="11"/>
  <c r="E55" i="11" l="1"/>
  <c r="H55" i="11" s="1"/>
  <c r="B56" i="11"/>
  <c r="D36" i="11"/>
  <c r="C36" i="11" l="1"/>
  <c r="F36" i="11" s="1"/>
  <c r="E56" i="11"/>
  <c r="B57" i="11"/>
  <c r="H56" i="11" l="1"/>
  <c r="L56" i="11"/>
  <c r="E21" i="15" s="1"/>
  <c r="E22" i="15" s="1"/>
  <c r="E57" i="11"/>
  <c r="B58" i="11"/>
  <c r="D37" i="11"/>
  <c r="C37" i="11" l="1"/>
  <c r="F37" i="11" s="1"/>
  <c r="E58" i="11"/>
  <c r="H58" i="11" s="1"/>
  <c r="B59" i="11"/>
  <c r="H57" i="11"/>
  <c r="E59" i="11" l="1"/>
  <c r="H59" i="11" s="1"/>
  <c r="B60" i="11"/>
  <c r="D38" i="11"/>
  <c r="C38" i="11" s="1"/>
  <c r="F38" i="11" s="1"/>
  <c r="D39" i="11" l="1"/>
  <c r="C39" i="11" s="1"/>
  <c r="F39" i="11" s="1"/>
  <c r="E60" i="11"/>
  <c r="B61" i="11"/>
  <c r="D40" i="11" l="1"/>
  <c r="C40" i="11" s="1"/>
  <c r="F40" i="11" s="1"/>
  <c r="H60" i="11"/>
  <c r="E61" i="11"/>
  <c r="H61" i="11" s="1"/>
  <c r="B62" i="11"/>
  <c r="D41" i="11" l="1"/>
  <c r="C41" i="11" s="1"/>
  <c r="F41" i="11" s="1"/>
  <c r="E62" i="11"/>
  <c r="H62" i="11" s="1"/>
  <c r="B63" i="11"/>
  <c r="D42" i="11" l="1"/>
  <c r="C42" i="11" s="1"/>
  <c r="F42" i="11" s="1"/>
  <c r="E63" i="11"/>
  <c r="B64" i="11"/>
  <c r="D43" i="11" l="1"/>
  <c r="C43" i="11" s="1"/>
  <c r="F43" i="11" s="1"/>
  <c r="H63" i="11"/>
  <c r="E64" i="11"/>
  <c r="H64" i="11" s="1"/>
  <c r="B65" i="11"/>
  <c r="D44" i="11" l="1"/>
  <c r="E65" i="11"/>
  <c r="H65" i="11" s="1"/>
  <c r="B66" i="11"/>
  <c r="E66" i="11" l="1"/>
  <c r="H66" i="11" s="1"/>
  <c r="B67" i="11"/>
  <c r="C44" i="11"/>
  <c r="F44" i="11" s="1"/>
  <c r="K44" i="11"/>
  <c r="D24" i="12" s="1"/>
  <c r="D26" i="12" s="1"/>
  <c r="D28" i="12" l="1"/>
  <c r="E10" i="15" s="1"/>
  <c r="E12" i="15" s="1"/>
  <c r="D30" i="12"/>
  <c r="D45" i="11"/>
  <c r="E67" i="11"/>
  <c r="H67" i="11" s="1"/>
  <c r="B68" i="11"/>
  <c r="E68" i="11" l="1"/>
  <c r="B69" i="11"/>
  <c r="C45" i="11"/>
  <c r="F45" i="11" s="1"/>
  <c r="F7" i="16"/>
  <c r="F8" i="16" s="1"/>
  <c r="F12" i="16" s="1"/>
  <c r="B8" i="18" s="1"/>
  <c r="C8" i="18" s="1"/>
  <c r="E14" i="15"/>
  <c r="E24" i="15" s="1"/>
  <c r="E28" i="15" s="1"/>
  <c r="D46" i="11" l="1"/>
  <c r="B70" i="11"/>
  <c r="E69" i="11"/>
  <c r="H69" i="11" s="1"/>
  <c r="H68" i="11"/>
  <c r="L68" i="11"/>
  <c r="F21" i="15" s="1"/>
  <c r="F22" i="15" s="1"/>
  <c r="E70" i="11" l="1"/>
  <c r="H70" i="11" s="1"/>
  <c r="B71" i="11"/>
  <c r="C46" i="11"/>
  <c r="F46" i="11" s="1"/>
  <c r="D47" i="11" l="1"/>
  <c r="E71" i="11"/>
  <c r="H71" i="11" s="1"/>
  <c r="C47" i="11" l="1"/>
  <c r="F47" i="11" s="1"/>
  <c r="D48" i="11" l="1"/>
  <c r="C48" i="11" l="1"/>
  <c r="F48" i="11" s="1"/>
  <c r="D49" i="11" l="1"/>
  <c r="C49" i="11" l="1"/>
  <c r="F49" i="11" s="1"/>
  <c r="D50" i="11" l="1"/>
  <c r="C50" i="11" s="1"/>
  <c r="F50" i="11" s="1"/>
  <c r="D51" i="11" l="1"/>
  <c r="C51" i="11" s="1"/>
  <c r="F51" i="11" s="1"/>
  <c r="D52" i="11" l="1"/>
  <c r="C52" i="11" s="1"/>
  <c r="F52" i="11" s="1"/>
  <c r="D53" i="11" l="1"/>
  <c r="C53" i="11" s="1"/>
  <c r="F53" i="11" s="1"/>
  <c r="D54" i="11" l="1"/>
  <c r="C54" i="11" s="1"/>
  <c r="F54" i="11" s="1"/>
  <c r="D55" i="11" l="1"/>
  <c r="C55" i="11" s="1"/>
  <c r="F55" i="11" s="1"/>
  <c r="D56" i="11" l="1"/>
  <c r="C56" i="11" l="1"/>
  <c r="F56" i="11" s="1"/>
  <c r="K56" i="11"/>
  <c r="E24" i="12" s="1"/>
  <c r="E26" i="12" s="1"/>
  <c r="D57" i="11" l="1"/>
  <c r="E28" i="12"/>
  <c r="F10" i="15" s="1"/>
  <c r="F12" i="15" s="1"/>
  <c r="G7" i="16" l="1"/>
  <c r="G8" i="16" s="1"/>
  <c r="G12" i="16" s="1"/>
  <c r="F14" i="15"/>
  <c r="F24" i="15" s="1"/>
  <c r="F28" i="15" s="1"/>
  <c r="E30" i="12"/>
  <c r="C57" i="11"/>
  <c r="F57" i="11" s="1"/>
  <c r="H12" i="16" l="1"/>
  <c r="B17" i="16" s="1"/>
  <c r="B9" i="18"/>
  <c r="C9" i="18" s="1"/>
  <c r="D58" i="11"/>
  <c r="B15" i="16"/>
  <c r="B21" i="18" l="1"/>
  <c r="C58" i="11"/>
  <c r="F58" i="11" s="1"/>
  <c r="D59" i="11" l="1"/>
  <c r="C59" i="11" l="1"/>
  <c r="F59" i="11" s="1"/>
  <c r="D60" i="11" l="1"/>
  <c r="C60" i="11" l="1"/>
  <c r="F60" i="11" s="1"/>
  <c r="D61" i="11" l="1"/>
  <c r="C61" i="11" l="1"/>
  <c r="F61" i="11" s="1"/>
  <c r="D62" i="11" l="1"/>
  <c r="C62" i="11" s="1"/>
  <c r="F62" i="11" s="1"/>
  <c r="D63" i="11" l="1"/>
  <c r="C63" i="11" s="1"/>
  <c r="F63" i="11" s="1"/>
  <c r="D64" i="11" l="1"/>
  <c r="C64" i="11" s="1"/>
  <c r="F64" i="11" s="1"/>
  <c r="D65" i="11" l="1"/>
  <c r="C65" i="11" s="1"/>
  <c r="F65" i="11" s="1"/>
  <c r="D66" i="11" l="1"/>
  <c r="C66" i="11" s="1"/>
  <c r="F66" i="11" s="1"/>
  <c r="D67" i="11" l="1"/>
  <c r="C67" i="11" s="1"/>
  <c r="F67" i="11" s="1"/>
  <c r="D68" i="11" l="1"/>
  <c r="C68" i="11" l="1"/>
  <c r="F68" i="11" s="1"/>
  <c r="K68" i="11"/>
  <c r="F24" i="12" s="1"/>
  <c r="F26" i="12" s="1"/>
  <c r="D69" i="11" l="1"/>
  <c r="C69" i="11" s="1"/>
  <c r="F69" i="11" s="1"/>
  <c r="F28" i="12"/>
  <c r="F30" i="12" s="1"/>
  <c r="D70" i="11" l="1"/>
  <c r="C70" i="11" s="1"/>
  <c r="F70" i="11" s="1"/>
  <c r="D71" i="11" l="1"/>
  <c r="C71" i="11" s="1"/>
  <c r="F71" i="11" s="1"/>
</calcChain>
</file>

<file path=xl/sharedStrings.xml><?xml version="1.0" encoding="utf-8"?>
<sst xmlns="http://schemas.openxmlformats.org/spreadsheetml/2006/main" count="475" uniqueCount="283">
  <si>
    <t>Introducción</t>
  </si>
  <si>
    <t>Mediante este excel presentamos el flujo de fondos y cuadro de resultados de la empresa.</t>
  </si>
  <si>
    <t>Las hojas estan ordenadas en el siguiente orden</t>
  </si>
  <si>
    <t>1.</t>
  </si>
  <si>
    <t>2.</t>
  </si>
  <si>
    <t>Los productos</t>
  </si>
  <si>
    <t xml:space="preserve"> </t>
  </si>
  <si>
    <t>Lista de los productos que constituye la oferta y los precios</t>
  </si>
  <si>
    <t>Lista de las Materias Primas que se usan y sus costos</t>
  </si>
  <si>
    <t>Relación de los productos con las Materias primas</t>
  </si>
  <si>
    <t>Análisis del margen de contribución de cada Producto</t>
  </si>
  <si>
    <t>3.</t>
  </si>
  <si>
    <t>El plan de Ventas</t>
  </si>
  <si>
    <t>Estimación de las ventas en unidades para los primeros 12 meses.</t>
  </si>
  <si>
    <t>Estimación de las ventas en unidades para los siguientes 4 años.</t>
  </si>
  <si>
    <t>Análisis del presupuesto de ventas</t>
  </si>
  <si>
    <t>Análisis del costo de Materias Primas</t>
  </si>
  <si>
    <t>4.</t>
  </si>
  <si>
    <t>Una vez que se estimó como serán las ventas se construye el plan de producción</t>
  </si>
  <si>
    <t>Se propuso el plan de producción igual al plan de ventas</t>
  </si>
  <si>
    <t>esto es un supuesto de producción por pedido o Just In Time.</t>
  </si>
  <si>
    <t>Revisión del plan de Producción en unidades</t>
  </si>
  <si>
    <t>Stock al fin del primer año</t>
  </si>
  <si>
    <t>Análisis de las Materias Primas que se necesitará para producir.</t>
  </si>
  <si>
    <t>5.</t>
  </si>
  <si>
    <t>Teniendo el conocimiento de lo que se va a producir y cuántas materias primas se van a necesitar, ahora tenemos:</t>
  </si>
  <si>
    <t>Compras de las materias primas</t>
  </si>
  <si>
    <t>Revise su plan y su presupuesto de compras</t>
  </si>
  <si>
    <t>Observe cómo será su stock de MP al fin del primer año</t>
  </si>
  <si>
    <t>6.</t>
  </si>
  <si>
    <t xml:space="preserve">Además de comprar Materias Primas se necesitará incurrir en otros gastos tanto en producción como administración </t>
  </si>
  <si>
    <t>Estimación de gastos de producción para los primeros 12 meses</t>
  </si>
  <si>
    <t>Estimación de gastos de producción para los siguientes años</t>
  </si>
  <si>
    <t>7.</t>
  </si>
  <si>
    <t xml:space="preserve">Cómo se piensa cobrar lo que se planeó vender? </t>
  </si>
  <si>
    <t>8.</t>
  </si>
  <si>
    <t>Cómo se piensa pagar las Materias Primas que se comprará?</t>
  </si>
  <si>
    <t>9.</t>
  </si>
  <si>
    <t>Qué se necesita para poner en marcha el emprendimiento? Listado de sus inversiones</t>
  </si>
  <si>
    <t>10.</t>
  </si>
  <si>
    <t>Obtención de un Prestamo. Indicando monto, tasa de interés y plazo</t>
  </si>
  <si>
    <t>11.</t>
  </si>
  <si>
    <t>Análisis de los resultados.</t>
  </si>
  <si>
    <t>Tasa de Impuesto a las Ganancias</t>
  </si>
  <si>
    <t>Punto de equilibrio de la empresa</t>
  </si>
  <si>
    <t>Situación económica de la empresa</t>
  </si>
  <si>
    <t>en el flujo de fondos se refleja la situación financiera</t>
  </si>
  <si>
    <t>Análisis de la situación financiera para cada año</t>
  </si>
  <si>
    <t>y cómo quedaría el Patrimonio a fin del primer año</t>
  </si>
  <si>
    <t>Evaluación del emprendimiento a partir del VAN y la TIR para eso</t>
  </si>
  <si>
    <t>Tasa de rentabilidad esperada</t>
  </si>
  <si>
    <t>Heladería DANG</t>
  </si>
  <si>
    <t>Productos disponibles para la Venta</t>
  </si>
  <si>
    <t>#</t>
  </si>
  <si>
    <t>Descripción</t>
  </si>
  <si>
    <t>Unidad
Medida</t>
  </si>
  <si>
    <t>Precio de
Venta</t>
  </si>
  <si>
    <t>Helado por 10 litros liso</t>
  </si>
  <si>
    <t xml:space="preserve">Barril </t>
  </si>
  <si>
    <t>Helado por 10 litros con Fruta</t>
  </si>
  <si>
    <t>Helado por 5 litros</t>
  </si>
  <si>
    <t>Balde 5 lt.</t>
  </si>
  <si>
    <t>Balde 5 litros 2 sabores</t>
  </si>
  <si>
    <t>Helado 2 litros liso</t>
  </si>
  <si>
    <t>Balde 2 lt.</t>
  </si>
  <si>
    <t>Helado 2 litros con Fruta</t>
  </si>
  <si>
    <t>Helado 2 litros 2 sabores</t>
  </si>
  <si>
    <t>Helado 1 litro liso</t>
  </si>
  <si>
    <t>Vaso 1 lt.</t>
  </si>
  <si>
    <t>Helado 1 litro con Fruta</t>
  </si>
  <si>
    <t>Helado 1 litro 2 sabores</t>
  </si>
  <si>
    <t>Materias Primas e Insumos</t>
  </si>
  <si>
    <t>Costo
Unitario</t>
  </si>
  <si>
    <t>Descrip.
Corta</t>
  </si>
  <si>
    <t>Leche</t>
  </si>
  <si>
    <t>Litros</t>
  </si>
  <si>
    <t>(Materias primas compradas al por mayor)</t>
  </si>
  <si>
    <t>Crema</t>
  </si>
  <si>
    <t>Kilos</t>
  </si>
  <si>
    <t>Azucar</t>
  </si>
  <si>
    <t>Frutas y secos</t>
  </si>
  <si>
    <t>Fruta</t>
  </si>
  <si>
    <t>Otros</t>
  </si>
  <si>
    <t>Pesos</t>
  </si>
  <si>
    <t>Costo Uni.
Mp. E Ins.</t>
  </si>
  <si>
    <t>Margen
Contrib.</t>
  </si>
  <si>
    <t>Ventas en Unidades Año 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</si>
  <si>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</si>
  <si>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</si>
  <si>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</si>
  <si>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</si>
  <si>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</si>
  <si>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</si>
  <si>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</si>
  <si>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</si>
  <si>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</si>
  <si>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Oct.</t>
  </si>
  <si>
    <t>Nov.</t>
  </si>
  <si>
    <t>Dic.</t>
  </si>
  <si>
    <t>Total</t>
  </si>
  <si>
    <t>Ventas en Unidades</t>
  </si>
  <si>
    <t>Ventas en $ Año 1</t>
  </si>
  <si>
    <t>Total Ventas en Pesos</t>
  </si>
  <si>
    <t xml:space="preserve">Ventas Anuales en Pesos </t>
  </si>
  <si>
    <t>Total Venta en Pesos</t>
  </si>
  <si>
    <t>Costo MP e Insumos Pesos</t>
  </si>
  <si>
    <t>Costo MP e Insumos</t>
  </si>
  <si>
    <t>Plan de Producción</t>
  </si>
  <si>
    <t>TOTAL</t>
  </si>
  <si>
    <t>Stock Inicial</t>
  </si>
  <si>
    <t>Producción Planeada</t>
  </si>
  <si>
    <t>Ventas Proyectadas</t>
  </si>
  <si>
    <t>Stock Final Proyectado</t>
  </si>
  <si>
    <t>Stock de Productos Terminados</t>
  </si>
  <si>
    <t>Stock</t>
  </si>
  <si>
    <t>Costo 
Unitario</t>
  </si>
  <si>
    <t>Stock en
Pesos</t>
  </si>
  <si>
    <t>Plan de Compras
en Unidades</t>
  </si>
  <si>
    <t>PRESUPUESTO de Compras
(en pesos)</t>
  </si>
  <si>
    <t>Consumo</t>
  </si>
  <si>
    <t>Stock Final</t>
  </si>
  <si>
    <t>Unidades</t>
  </si>
  <si>
    <t>Necesidades de Materias Primas</t>
  </si>
  <si>
    <t>Requerimientos (consumos) de Materias Primas</t>
  </si>
  <si>
    <t>Consumo de Materias Prima en Pesos</t>
  </si>
  <si>
    <t>TOTAL CONSUMO MP en PESOS</t>
  </si>
  <si>
    <t>Gastos de Producción</t>
  </si>
  <si>
    <t>Mano de Obra</t>
  </si>
  <si>
    <t>Cargas Sociales</t>
  </si>
  <si>
    <t>Electricidad y Gas</t>
  </si>
  <si>
    <t>Mantenimiento</t>
  </si>
  <si>
    <t>Seguros</t>
  </si>
  <si>
    <t>Varios</t>
  </si>
  <si>
    <t>Amortización Bienes de Uso</t>
  </si>
  <si>
    <t>Total Gastos de Producción</t>
  </si>
  <si>
    <t>Otros Gastos</t>
  </si>
  <si>
    <t>Sueldos de Administración</t>
  </si>
  <si>
    <t>Sueldos Comerciales</t>
  </si>
  <si>
    <t>Publicidad</t>
  </si>
  <si>
    <t>Fletes</t>
  </si>
  <si>
    <t>Impuestos y tasas</t>
  </si>
  <si>
    <t>Total Otros Gastos</t>
  </si>
  <si>
    <t>%</t>
  </si>
  <si>
    <t>Ventas en Pesos</t>
  </si>
  <si>
    <t>Cobranza al contado</t>
  </si>
  <si>
    <t>Cobranza a 30 días</t>
  </si>
  <si>
    <t>Cobranza a 60 días</t>
  </si>
  <si>
    <t>Cobranza a 90 días</t>
  </si>
  <si>
    <t>Cobranza a 120 días</t>
  </si>
  <si>
    <t>Cobranza a 150 días</t>
  </si>
  <si>
    <t>Cobranza a 180 días</t>
  </si>
  <si>
    <t>Pendiente de Cobro</t>
  </si>
  <si>
    <t>Compras en $ Año 1</t>
  </si>
  <si>
    <t>Compras de MP</t>
  </si>
  <si>
    <t>Pagos al contado</t>
  </si>
  <si>
    <t>Pagos a 30 días</t>
  </si>
  <si>
    <t>Pagos a 60 días</t>
  </si>
  <si>
    <t>Pagos a 90 días</t>
  </si>
  <si>
    <t>Pagos a 120 días</t>
  </si>
  <si>
    <t>Pagos a 150 días</t>
  </si>
  <si>
    <t>Pagos a 180 días</t>
  </si>
  <si>
    <t>Pendiente de Pago</t>
  </si>
  <si>
    <t>Detalle de Inversiones
en Bienes de Uso</t>
  </si>
  <si>
    <t>Monto</t>
  </si>
  <si>
    <t>Vida Util
en Años</t>
  </si>
  <si>
    <t>Amortización
Anual</t>
  </si>
  <si>
    <t>Amortización
Mensual</t>
  </si>
  <si>
    <t>Amortización
Año 1</t>
  </si>
  <si>
    <t>Amortización
Año 2</t>
  </si>
  <si>
    <t>Amortización
Año 3</t>
  </si>
  <si>
    <t>Amortización
Año 4</t>
  </si>
  <si>
    <t>Amortización
Año 5</t>
  </si>
  <si>
    <t>Freezer Industrial</t>
  </si>
  <si>
    <t>Cocina automatizada</t>
  </si>
  <si>
    <t>Total Inversión en Bienes de Uso</t>
  </si>
  <si>
    <t>Monto:</t>
  </si>
  <si>
    <t>Interés anual:</t>
  </si>
  <si>
    <t>TEA</t>
  </si>
  <si>
    <t>Cuotas:</t>
  </si>
  <si>
    <t>mensuales</t>
  </si>
  <si>
    <t>Interés Men:</t>
  </si>
  <si>
    <t>TEM</t>
  </si>
  <si>
    <t>Sistema:</t>
  </si>
  <si>
    <t>Francés</t>
  </si>
  <si>
    <t>Gracia de capital:</t>
  </si>
  <si>
    <t>meses</t>
  </si>
  <si>
    <t>Cuotas</t>
  </si>
  <si>
    <t>Capital</t>
  </si>
  <si>
    <t xml:space="preserve">Interés </t>
  </si>
  <si>
    <t>Importe de Cuota</t>
  </si>
  <si>
    <t>Saldo</t>
  </si>
  <si>
    <t>IVA sobre intereses</t>
  </si>
  <si>
    <t>Importe total a pagar</t>
  </si>
  <si>
    <t>Saldo Inicial</t>
  </si>
  <si>
    <t>Intereses</t>
  </si>
  <si>
    <t>Pagado</t>
  </si>
  <si>
    <t>Año 1</t>
  </si>
  <si>
    <t>Año 2</t>
  </si>
  <si>
    <t>Año 3</t>
  </si>
  <si>
    <t>Año 4</t>
  </si>
  <si>
    <t>Año 5</t>
  </si>
  <si>
    <t>Ventas</t>
  </si>
  <si>
    <t>Costo de Ventas</t>
  </si>
  <si>
    <t>Utilidad Bruta</t>
  </si>
  <si>
    <t>Gastos de producción Fijos</t>
  </si>
  <si>
    <t>Utilidad Antes de Intereses e</t>
  </si>
  <si>
    <t>Impuestos</t>
  </si>
  <si>
    <t>Utilidad Antes de Impuestos</t>
  </si>
  <si>
    <t>Impuesto a las Ganancias</t>
  </si>
  <si>
    <t>Utilidad Después de Impuestos</t>
  </si>
  <si>
    <t>Tasa de Impuesto a las ganancias</t>
  </si>
  <si>
    <t>Equilibrio Unidades</t>
  </si>
  <si>
    <t>Equilibrio en Pesos</t>
  </si>
  <si>
    <t>Precio Promedio</t>
  </si>
  <si>
    <t>Costo Var. Promedio</t>
  </si>
  <si>
    <t>Contribución Marginal</t>
  </si>
  <si>
    <t>Costo Fijo</t>
  </si>
  <si>
    <t>Costo Total</t>
  </si>
  <si>
    <t>Flujo de Fondos</t>
  </si>
  <si>
    <t>Ingresos por Ventas</t>
  </si>
  <si>
    <t>Egresos por Compras M.P.</t>
  </si>
  <si>
    <t>Sueldos y Cargas</t>
  </si>
  <si>
    <t>Producción</t>
  </si>
  <si>
    <t>Administración</t>
  </si>
  <si>
    <t>Comerciales</t>
  </si>
  <si>
    <t>Cargas Soc. Producción</t>
  </si>
  <si>
    <t>Cargas Soc. Adm.  Y Ventas</t>
  </si>
  <si>
    <t>Subtotal Sueldos y Cargas</t>
  </si>
  <si>
    <t>Otros Gastos de Producción</t>
  </si>
  <si>
    <t>Otros Gastos de Adm. Y Ventas</t>
  </si>
  <si>
    <t>Total Egresos Operativos</t>
  </si>
  <si>
    <t>Diferencia Operativa</t>
  </si>
  <si>
    <t>Inversiones</t>
  </si>
  <si>
    <t>Flujo Financiero</t>
  </si>
  <si>
    <t>Prestamo</t>
  </si>
  <si>
    <t>Devolución del Prestamo</t>
  </si>
  <si>
    <t>Total Flujo Financiero</t>
  </si>
  <si>
    <t>Diferencia Ingresos - Egresos</t>
  </si>
  <si>
    <t>Aporte del Emprendedor</t>
  </si>
  <si>
    <t>Tasa de Ganancia Requerida</t>
  </si>
  <si>
    <t>Flujo del Proyecto</t>
  </si>
  <si>
    <t>Egresos Operativos</t>
  </si>
  <si>
    <t>Inversión</t>
  </si>
  <si>
    <t>Valor</t>
  </si>
  <si>
    <t>Residual</t>
  </si>
  <si>
    <t>Tasa Interna de Retorno</t>
  </si>
  <si>
    <t>Valor Actual Neto</t>
  </si>
  <si>
    <t>Activo</t>
  </si>
  <si>
    <t>Pasivo</t>
  </si>
  <si>
    <t>Caja</t>
  </si>
  <si>
    <t>Proveedores</t>
  </si>
  <si>
    <t>Créditos</t>
  </si>
  <si>
    <t>Productos Terminados</t>
  </si>
  <si>
    <t>Impuesto a Pagar</t>
  </si>
  <si>
    <t>Materias Primas</t>
  </si>
  <si>
    <t>Pasivo Corriente</t>
  </si>
  <si>
    <t>Activo Corriente</t>
  </si>
  <si>
    <t>Prestamos</t>
  </si>
  <si>
    <t>Pasivo No Corriente</t>
  </si>
  <si>
    <t>TOTAL PASIVO</t>
  </si>
  <si>
    <t>Patrimonio Neto</t>
  </si>
  <si>
    <t>Bienes de Uso</t>
  </si>
  <si>
    <t>Amortización B. de U.</t>
  </si>
  <si>
    <t>Resultado</t>
  </si>
  <si>
    <t>Activo No Corriente</t>
  </si>
  <si>
    <t>Total Activo</t>
  </si>
  <si>
    <t>Total Pasivo + PN</t>
  </si>
  <si>
    <t>METODO DE VALORACION POR DESCUENTO DE FLUJOS DE CAJA</t>
  </si>
  <si>
    <t>Año</t>
  </si>
  <si>
    <t>Flujo actualizado</t>
  </si>
  <si>
    <t>Valoración por flujos de caja descontados</t>
  </si>
  <si>
    <t>CAJA</t>
  </si>
  <si>
    <t>Interpretación:</t>
  </si>
  <si>
    <t>ENDEUDAMIENTO</t>
  </si>
  <si>
    <t>FONDOS PROPIOS</t>
  </si>
  <si>
    <t>COSTE FONDOS PROPIOS</t>
  </si>
  <si>
    <t>TIPO DE INTERES</t>
  </si>
  <si>
    <t>TASA IMPOSITIVA</t>
  </si>
  <si>
    <t xml:space="preserve">Flujo de caja </t>
  </si>
  <si>
    <t>Wacc</t>
  </si>
  <si>
    <t xml:space="preserve">g ( Tasa crecimiento futuro) </t>
  </si>
  <si>
    <t>Valor residual</t>
  </si>
  <si>
    <t>Si comprasemos la empresa por $ 1.454.257.529,92 tendriamos una rentabilidad del 50 %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</si>
</sst>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.00"/>
    <numFmt numFmtId="165" formatCode="[$$-2C0A]\ #,##0.00"/>
    <numFmt numFmtId="166" formatCode="0.0%"/>
    <numFmt numFmtId="167" formatCode="&quot;$&quot;#,##0"/>
    <numFmt numFmtId="168" formatCode="&quot;$&quot;\ #,##0.00"/>
    <numFmt numFmtId="169" formatCode="&quot;$&quot;\ #,##0"/>
    <numFmt numFmtId="170" formatCode="[$$-340A]\ #,##0"/>
    <numFmt numFmtId="171" formatCode="[$$-2C0A]\ #,##0"/>
    <numFmt numFmtId="172" formatCode="#,##0;[Red]\ \(#,##0\)"/>
    <numFmt numFmtId="173" formatCode="_ * #,##0.00_ ;_ * \-#,##0.00_ ;_ * &quot;-&quot;??_ ;_ @_ "/>
    <numFmt numFmtId="174" formatCode="&quot;$&quot;\ #,##0;[Red]&quot;$&quot;\ \-#,##0"/>
    <numFmt numFmtId="175" formatCode="_-* #,##0_-;\-* #,##0_-;_-* &quot;-&quot;??_-;_-@_-"/>
  </numFmts>
  <fonts count="25" x14ac:knownFonts="1">
    <font>
      <sz val="10"/>
      <color rgb="FF000000"/>
      <name val="Arial"/>
      <scheme val="minor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Montserrat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80808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3"/>
      <color theme="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2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0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34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0" fontId="3" fillId="0" borderId="1" xfId="0" applyFont="1" applyBorder="1"/>
    <xf numFmtId="0" fontId="4" fillId="2" borderId="1" xfId="0" applyFont="1" applyFill="1" applyBorder="1"/>
    <xf numFmtId="0" fontId="5" fillId="0" borderId="1" xfId="0" applyFont="1" applyBorder="1"/>
    <xf numFmtId="0" fontId="6" fillId="0" borderId="0" xfId="0" applyFont="1"/>
    <xf numFmtId="0" fontId="1" fillId="0" borderId="0" xfId="0" applyFont="1"/>
    <xf numFmtId="0" fontId="7" fillId="0" borderId="0" xfId="0" applyFont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164" fontId="6" fillId="0" borderId="12" xfId="0" applyNumberFormat="1" applyFont="1" applyBorder="1"/>
    <xf numFmtId="4" fontId="6" fillId="0" borderId="13" xfId="0" applyNumberFormat="1" applyFont="1" applyBorder="1"/>
    <xf numFmtId="4" fontId="6" fillId="0" borderId="10" xfId="0" applyNumberFormat="1" applyFont="1" applyBorder="1"/>
    <xf numFmtId="4" fontId="6" fillId="0" borderId="14" xfId="0" applyNumberFormat="1" applyFont="1" applyBorder="1"/>
    <xf numFmtId="164" fontId="6" fillId="0" borderId="14" xfId="0" applyNumberFormat="1" applyFont="1" applyBorder="1"/>
    <xf numFmtId="0" fontId="6" fillId="0" borderId="15" xfId="0" applyFont="1" applyBorder="1"/>
    <xf numFmtId="0" fontId="6" fillId="0" borderId="16" xfId="0" applyFont="1" applyBorder="1"/>
    <xf numFmtId="164" fontId="6" fillId="0" borderId="17" xfId="0" applyNumberFormat="1" applyFont="1" applyBorder="1"/>
    <xf numFmtId="4" fontId="6" fillId="0" borderId="18" xfId="0" applyNumberFormat="1" applyFont="1" applyBorder="1"/>
    <xf numFmtId="4" fontId="6" fillId="0" borderId="16" xfId="0" applyNumberFormat="1" applyFont="1" applyBorder="1"/>
    <xf numFmtId="4" fontId="6" fillId="0" borderId="17" xfId="0" applyNumberFormat="1" applyFont="1" applyBorder="1"/>
    <xf numFmtId="0" fontId="8" fillId="0" borderId="0" xfId="0" applyFont="1"/>
    <xf numFmtId="0" fontId="7" fillId="3" borderId="4" xfId="0" applyFont="1" applyFill="1" applyBorder="1" applyAlignment="1">
      <alignment horizontal="center" wrapText="1"/>
    </xf>
    <xf numFmtId="164" fontId="6" fillId="0" borderId="10" xfId="0" applyNumberFormat="1" applyFont="1" applyBorder="1"/>
    <xf numFmtId="164" fontId="6" fillId="0" borderId="19" xfId="0" applyNumberFormat="1" applyFont="1" applyBorder="1"/>
    <xf numFmtId="0" fontId="3" fillId="0" borderId="0" xfId="0" applyFont="1"/>
    <xf numFmtId="164" fontId="6" fillId="0" borderId="16" xfId="0" applyNumberFormat="1" applyFont="1" applyBorder="1"/>
    <xf numFmtId="164" fontId="6" fillId="0" borderId="20" xfId="0" applyNumberFormat="1" applyFont="1" applyBorder="1"/>
    <xf numFmtId="0" fontId="7" fillId="0" borderId="5" xfId="0" applyFont="1" applyBorder="1" applyAlignment="1">
      <alignment horizontal="center"/>
    </xf>
    <xf numFmtId="0" fontId="7" fillId="3" borderId="6" xfId="0" applyFont="1" applyFill="1" applyBorder="1" applyAlignment="1">
      <alignment wrapText="1"/>
    </xf>
    <xf numFmtId="165" fontId="6" fillId="0" borderId="10" xfId="0" applyNumberFormat="1" applyFont="1" applyBorder="1"/>
    <xf numFmtId="166" fontId="6" fillId="0" borderId="10" xfId="0" applyNumberFormat="1" applyFont="1" applyBorder="1"/>
    <xf numFmtId="165" fontId="6" fillId="0" borderId="14" xfId="0" applyNumberFormat="1" applyFont="1" applyBorder="1"/>
    <xf numFmtId="165" fontId="6" fillId="0" borderId="16" xfId="0" applyNumberFormat="1" applyFont="1" applyBorder="1"/>
    <xf numFmtId="166" fontId="6" fillId="0" borderId="16" xfId="0" applyNumberFormat="1" applyFont="1" applyBorder="1"/>
    <xf numFmtId="165" fontId="6" fillId="0" borderId="17" xfId="0" applyNumberFormat="1" applyFont="1" applyBorder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3" borderId="5" xfId="0" applyFont="1" applyFill="1" applyBorder="1" applyAlignment="1">
      <alignment horizontal="center" wrapText="1"/>
    </xf>
    <xf numFmtId="0" fontId="7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4" xfId="0" applyFont="1" applyBorder="1" applyAlignment="1">
      <alignment wrapText="1"/>
    </xf>
    <xf numFmtId="3" fontId="6" fillId="0" borderId="24" xfId="0" applyNumberFormat="1" applyFont="1" applyBorder="1" applyAlignment="1">
      <alignment wrapText="1"/>
    </xf>
    <xf numFmtId="3" fontId="6" fillId="0" borderId="25" xfId="0" applyNumberFormat="1" applyFont="1" applyBorder="1" applyAlignment="1">
      <alignment wrapText="1"/>
    </xf>
    <xf numFmtId="0" fontId="6" fillId="0" borderId="26" xfId="0" applyFont="1" applyBorder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27" xfId="0" applyFont="1" applyBorder="1" applyAlignment="1">
      <alignment wrapText="1"/>
    </xf>
    <xf numFmtId="3" fontId="6" fillId="0" borderId="28" xfId="0" applyNumberFormat="1" applyFont="1" applyBorder="1" applyAlignment="1">
      <alignment wrapText="1"/>
    </xf>
    <xf numFmtId="3" fontId="6" fillId="0" borderId="29" xfId="0" applyNumberFormat="1" applyFont="1" applyBorder="1" applyAlignment="1">
      <alignment wrapText="1"/>
    </xf>
    <xf numFmtId="0" fontId="6" fillId="0" borderId="30" xfId="0" applyFont="1" applyBorder="1" applyAlignment="1">
      <alignment wrapTex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3" fontId="6" fillId="0" borderId="32" xfId="0" applyNumberFormat="1" applyFont="1" applyBorder="1" applyAlignment="1">
      <alignment wrapText="1"/>
    </xf>
    <xf numFmtId="3" fontId="6" fillId="0" borderId="33" xfId="0" applyNumberFormat="1" applyFont="1" applyBorder="1" applyAlignment="1">
      <alignment wrapText="1"/>
    </xf>
    <xf numFmtId="0" fontId="6" fillId="0" borderId="34" xfId="0" applyFont="1" applyBorder="1" applyAlignment="1">
      <alignment wrapText="1"/>
    </xf>
    <xf numFmtId="3" fontId="9" fillId="2" borderId="0" xfId="0" applyNumberFormat="1" applyFont="1" applyFill="1" applyAlignment="1">
      <alignment horizontal="center" wrapText="1"/>
    </xf>
    <xf numFmtId="3" fontId="6" fillId="0" borderId="35" xfId="0" applyNumberFormat="1" applyFont="1" applyBorder="1" applyAlignment="1">
      <alignment wrapText="1"/>
    </xf>
    <xf numFmtId="3" fontId="9" fillId="2" borderId="0" xfId="0" applyNumberFormat="1" applyFont="1" applyFill="1" applyAlignment="1">
      <alignment horizontal="center"/>
    </xf>
    <xf numFmtId="0" fontId="6" fillId="0" borderId="28" xfId="0" applyFont="1" applyBorder="1" applyAlignment="1">
      <alignment wrapText="1"/>
    </xf>
    <xf numFmtId="3" fontId="6" fillId="0" borderId="36" xfId="0" applyNumberFormat="1" applyFont="1" applyBorder="1" applyAlignment="1">
      <alignment wrapText="1"/>
    </xf>
    <xf numFmtId="0" fontId="9" fillId="2" borderId="0" xfId="0" applyFont="1" applyFill="1" applyAlignment="1">
      <alignment horizontal="center"/>
    </xf>
    <xf numFmtId="167" fontId="6" fillId="0" borderId="24" xfId="0" applyNumberFormat="1" applyFont="1" applyBorder="1" applyAlignment="1">
      <alignment wrapText="1"/>
    </xf>
    <xf numFmtId="167" fontId="6" fillId="0" borderId="35" xfId="0" applyNumberFormat="1" applyFont="1" applyBorder="1" applyAlignment="1">
      <alignment wrapText="1"/>
    </xf>
    <xf numFmtId="0" fontId="6" fillId="0" borderId="37" xfId="0" applyFont="1" applyBorder="1" applyAlignment="1">
      <alignment wrapText="1"/>
    </xf>
    <xf numFmtId="0" fontId="6" fillId="0" borderId="38" xfId="0" applyFont="1" applyBorder="1" applyAlignment="1">
      <alignment wrapText="1"/>
    </xf>
    <xf numFmtId="167" fontId="6" fillId="0" borderId="38" xfId="0" applyNumberFormat="1" applyFont="1" applyBorder="1" applyAlignment="1">
      <alignment wrapText="1"/>
    </xf>
    <xf numFmtId="167" fontId="6" fillId="0" borderId="39" xfId="0" applyNumberFormat="1" applyFont="1" applyBorder="1" applyAlignment="1">
      <alignment wrapText="1"/>
    </xf>
    <xf numFmtId="0" fontId="6" fillId="0" borderId="40" xfId="0" applyFont="1" applyBorder="1" applyAlignment="1">
      <alignment wrapText="1"/>
    </xf>
    <xf numFmtId="0" fontId="7" fillId="0" borderId="41" xfId="0" applyFont="1" applyBorder="1" applyAlignment="1">
      <alignment horizontal="center" wrapText="1"/>
    </xf>
    <xf numFmtId="167" fontId="6" fillId="0" borderId="41" xfId="0" applyNumberFormat="1" applyFont="1" applyBorder="1" applyAlignment="1">
      <alignment wrapText="1"/>
    </xf>
    <xf numFmtId="167" fontId="6" fillId="0" borderId="42" xfId="0" applyNumberFormat="1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6" fillId="0" borderId="44" xfId="0" applyFont="1" applyBorder="1" applyAlignment="1">
      <alignment wrapText="1"/>
    </xf>
    <xf numFmtId="167" fontId="6" fillId="0" borderId="44" xfId="0" applyNumberFormat="1" applyFont="1" applyBorder="1" applyAlignment="1">
      <alignment wrapText="1"/>
    </xf>
    <xf numFmtId="167" fontId="6" fillId="0" borderId="45" xfId="0" applyNumberFormat="1" applyFont="1" applyBorder="1" applyAlignment="1">
      <alignment wrapText="1"/>
    </xf>
    <xf numFmtId="167" fontId="6" fillId="0" borderId="28" xfId="0" applyNumberFormat="1" applyFont="1" applyBorder="1" applyAlignment="1">
      <alignment wrapText="1"/>
    </xf>
    <xf numFmtId="167" fontId="6" fillId="0" borderId="46" xfId="0" applyNumberFormat="1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167" fontId="6" fillId="0" borderId="16" xfId="0" applyNumberFormat="1" applyFont="1" applyBorder="1" applyAlignment="1">
      <alignment wrapText="1"/>
    </xf>
    <xf numFmtId="167" fontId="6" fillId="0" borderId="17" xfId="0" applyNumberFormat="1" applyFont="1" applyBorder="1" applyAlignment="1">
      <alignment wrapText="1"/>
    </xf>
    <xf numFmtId="0" fontId="7" fillId="0" borderId="16" xfId="0" applyFont="1" applyBorder="1" applyAlignment="1">
      <alignment horizontal="center" wrapText="1"/>
    </xf>
    <xf numFmtId="2" fontId="7" fillId="3" borderId="5" xfId="0" applyNumberFormat="1" applyFont="1" applyFill="1" applyBorder="1" applyAlignment="1">
      <alignment horizontal="center"/>
    </xf>
    <xf numFmtId="2" fontId="7" fillId="3" borderId="6" xfId="0" applyNumberFormat="1" applyFont="1" applyFill="1" applyBorder="1" applyAlignment="1">
      <alignment horizontal="center" wrapText="1"/>
    </xf>
    <xf numFmtId="2" fontId="7" fillId="3" borderId="7" xfId="0" applyNumberFormat="1" applyFont="1" applyFill="1" applyBorder="1" applyAlignment="1">
      <alignment horizontal="center" wrapText="1"/>
    </xf>
    <xf numFmtId="1" fontId="6" fillId="0" borderId="9" xfId="0" applyNumberFormat="1" applyFont="1" applyBorder="1"/>
    <xf numFmtId="2" fontId="6" fillId="0" borderId="10" xfId="0" applyNumberFormat="1" applyFont="1" applyBorder="1"/>
    <xf numFmtId="3" fontId="6" fillId="0" borderId="10" xfId="0" applyNumberFormat="1" applyFont="1" applyBorder="1"/>
    <xf numFmtId="3" fontId="6" fillId="0" borderId="14" xfId="0" applyNumberFormat="1" applyFont="1" applyBorder="1"/>
    <xf numFmtId="1" fontId="6" fillId="0" borderId="15" xfId="0" applyNumberFormat="1" applyFont="1" applyBorder="1"/>
    <xf numFmtId="2" fontId="6" fillId="0" borderId="16" xfId="0" applyNumberFormat="1" applyFont="1" applyBorder="1"/>
    <xf numFmtId="3" fontId="6" fillId="0" borderId="16" xfId="0" applyNumberFormat="1" applyFont="1" applyBorder="1"/>
    <xf numFmtId="3" fontId="6" fillId="0" borderId="17" xfId="0" applyNumberFormat="1" applyFont="1" applyBorder="1"/>
    <xf numFmtId="1" fontId="6" fillId="0" borderId="0" xfId="0" applyNumberFormat="1" applyFont="1"/>
    <xf numFmtId="1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wrapText="1"/>
    </xf>
    <xf numFmtId="0" fontId="10" fillId="0" borderId="10" xfId="0" applyFont="1" applyBorder="1"/>
    <xf numFmtId="0" fontId="6" fillId="0" borderId="14" xfId="0" applyFont="1" applyBorder="1"/>
    <xf numFmtId="0" fontId="11" fillId="0" borderId="47" xfId="0" applyFont="1" applyBorder="1"/>
    <xf numFmtId="2" fontId="6" fillId="0" borderId="48" xfId="0" applyNumberFormat="1" applyFont="1" applyBorder="1"/>
    <xf numFmtId="3" fontId="11" fillId="0" borderId="48" xfId="0" applyNumberFormat="1" applyFont="1" applyBorder="1"/>
    <xf numFmtId="3" fontId="11" fillId="0" borderId="49" xfId="0" applyNumberFormat="1" applyFont="1" applyBorder="1"/>
    <xf numFmtId="0" fontId="6" fillId="4" borderId="50" xfId="0" applyFont="1" applyFill="1" applyBorder="1"/>
    <xf numFmtId="2" fontId="6" fillId="4" borderId="51" xfId="0" applyNumberFormat="1" applyFont="1" applyFill="1" applyBorder="1"/>
    <xf numFmtId="3" fontId="6" fillId="4" borderId="51" xfId="0" applyNumberFormat="1" applyFont="1" applyFill="1" applyBorder="1"/>
    <xf numFmtId="3" fontId="6" fillId="4" borderId="52" xfId="0" applyNumberFormat="1" applyFont="1" applyFill="1" applyBorder="1"/>
    <xf numFmtId="0" fontId="6" fillId="4" borderId="53" xfId="0" applyFont="1" applyFill="1" applyBorder="1"/>
    <xf numFmtId="2" fontId="6" fillId="4" borderId="54" xfId="0" applyNumberFormat="1" applyFont="1" applyFill="1" applyBorder="1"/>
    <xf numFmtId="3" fontId="6" fillId="4" borderId="54" xfId="0" applyNumberFormat="1" applyFont="1" applyFill="1" applyBorder="1"/>
    <xf numFmtId="3" fontId="6" fillId="4" borderId="55" xfId="0" applyNumberFormat="1" applyFont="1" applyFill="1" applyBorder="1"/>
    <xf numFmtId="0" fontId="11" fillId="0" borderId="10" xfId="0" applyFont="1" applyBorder="1"/>
    <xf numFmtId="168" fontId="6" fillId="0" borderId="10" xfId="0" applyNumberFormat="1" applyFont="1" applyBorder="1"/>
    <xf numFmtId="169" fontId="6" fillId="0" borderId="10" xfId="0" applyNumberFormat="1" applyFont="1" applyBorder="1"/>
    <xf numFmtId="168" fontId="6" fillId="0" borderId="16" xfId="0" applyNumberFormat="1" applyFont="1" applyBorder="1"/>
    <xf numFmtId="169" fontId="6" fillId="0" borderId="16" xfId="0" applyNumberFormat="1" applyFont="1" applyBorder="1"/>
    <xf numFmtId="0" fontId="7" fillId="0" borderId="0" xfId="0" applyFont="1" applyAlignment="1">
      <alignment horizontal="center"/>
    </xf>
    <xf numFmtId="169" fontId="6" fillId="0" borderId="56" xfId="0" applyNumberFormat="1" applyFont="1" applyBorder="1"/>
    <xf numFmtId="3" fontId="6" fillId="0" borderId="19" xfId="0" applyNumberFormat="1" applyFont="1" applyBorder="1"/>
    <xf numFmtId="3" fontId="6" fillId="0" borderId="20" xfId="0" applyNumberFormat="1" applyFont="1" applyBorder="1"/>
    <xf numFmtId="3" fontId="6" fillId="0" borderId="0" xfId="0" applyNumberFormat="1" applyFont="1"/>
    <xf numFmtId="170" fontId="6" fillId="0" borderId="10" xfId="0" applyNumberFormat="1" applyFont="1" applyBorder="1"/>
    <xf numFmtId="169" fontId="6" fillId="0" borderId="14" xfId="0" applyNumberFormat="1" applyFont="1" applyBorder="1"/>
    <xf numFmtId="1" fontId="6" fillId="0" borderId="57" xfId="0" applyNumberFormat="1" applyFont="1" applyBorder="1"/>
    <xf numFmtId="2" fontId="6" fillId="0" borderId="58" xfId="0" applyNumberFormat="1" applyFont="1" applyBorder="1"/>
    <xf numFmtId="170" fontId="6" fillId="0" borderId="58" xfId="0" applyNumberFormat="1" applyFont="1" applyBorder="1"/>
    <xf numFmtId="169" fontId="6" fillId="0" borderId="59" xfId="0" applyNumberFormat="1" applyFont="1" applyBorder="1"/>
    <xf numFmtId="171" fontId="6" fillId="0" borderId="16" xfId="0" applyNumberFormat="1" applyFont="1" applyBorder="1"/>
    <xf numFmtId="169" fontId="6" fillId="0" borderId="17" xfId="0" applyNumberFormat="1" applyFont="1" applyBorder="1"/>
    <xf numFmtId="2" fontId="7" fillId="0" borderId="0" xfId="0" applyNumberFormat="1" applyFont="1" applyAlignment="1">
      <alignment horizontal="center"/>
    </xf>
    <xf numFmtId="2" fontId="6" fillId="3" borderId="51" xfId="0" applyNumberFormat="1" applyFont="1" applyFill="1" applyBorder="1"/>
    <xf numFmtId="2" fontId="6" fillId="3" borderId="48" xfId="0" applyNumberFormat="1" applyFont="1" applyFill="1" applyBorder="1"/>
    <xf numFmtId="3" fontId="6" fillId="4" borderId="60" xfId="0" applyNumberFormat="1" applyFont="1" applyFill="1" applyBorder="1"/>
    <xf numFmtId="2" fontId="6" fillId="4" borderId="48" xfId="0" applyNumberFormat="1" applyFont="1" applyFill="1" applyBorder="1"/>
    <xf numFmtId="2" fontId="7" fillId="3" borderId="5" xfId="0" applyNumberFormat="1" applyFont="1" applyFill="1" applyBorder="1" applyAlignment="1">
      <alignment horizontal="center" wrapText="1"/>
    </xf>
    <xf numFmtId="2" fontId="6" fillId="0" borderId="9" xfId="0" applyNumberFormat="1" applyFont="1" applyBorder="1"/>
    <xf numFmtId="168" fontId="6" fillId="0" borderId="14" xfId="0" applyNumberFormat="1" applyFont="1" applyBorder="1"/>
    <xf numFmtId="2" fontId="6" fillId="0" borderId="57" xfId="0" applyNumberFormat="1" applyFont="1" applyBorder="1"/>
    <xf numFmtId="3" fontId="6" fillId="0" borderId="58" xfId="0" applyNumberFormat="1" applyFont="1" applyBorder="1"/>
    <xf numFmtId="168" fontId="6" fillId="0" borderId="58" xfId="0" applyNumberFormat="1" applyFont="1" applyBorder="1"/>
    <xf numFmtId="168" fontId="6" fillId="0" borderId="59" xfId="0" applyNumberFormat="1" applyFont="1" applyBorder="1"/>
    <xf numFmtId="168" fontId="6" fillId="0" borderId="17" xfId="0" applyNumberFormat="1" applyFont="1" applyBorder="1"/>
    <xf numFmtId="168" fontId="6" fillId="0" borderId="0" xfId="0" applyNumberFormat="1" applyFont="1"/>
    <xf numFmtId="0" fontId="6" fillId="0" borderId="61" xfId="0" applyFont="1" applyBorder="1"/>
    <xf numFmtId="0" fontId="7" fillId="3" borderId="7" xfId="0" applyFont="1" applyFill="1" applyBorder="1" applyAlignment="1">
      <alignment horizontal="center"/>
    </xf>
    <xf numFmtId="0" fontId="6" fillId="0" borderId="23" xfId="0" applyFont="1" applyBorder="1"/>
    <xf numFmtId="0" fontId="6" fillId="0" borderId="24" xfId="0" applyFont="1" applyBorder="1"/>
    <xf numFmtId="3" fontId="6" fillId="0" borderId="24" xfId="0" applyNumberFormat="1" applyFont="1" applyBorder="1"/>
    <xf numFmtId="3" fontId="6" fillId="0" borderId="35" xfId="0" applyNumberFormat="1" applyFont="1" applyBorder="1"/>
    <xf numFmtId="0" fontId="6" fillId="0" borderId="27" xfId="0" applyFont="1" applyBorder="1"/>
    <xf numFmtId="0" fontId="6" fillId="0" borderId="28" xfId="0" applyFont="1" applyBorder="1"/>
    <xf numFmtId="3" fontId="6" fillId="0" borderId="46" xfId="0" applyNumberFormat="1" applyFont="1" applyBorder="1"/>
    <xf numFmtId="0" fontId="6" fillId="0" borderId="37" xfId="0" applyFont="1" applyBorder="1"/>
    <xf numFmtId="0" fontId="6" fillId="0" borderId="38" xfId="0" applyFont="1" applyBorder="1"/>
    <xf numFmtId="3" fontId="6" fillId="0" borderId="38" xfId="0" applyNumberFormat="1" applyFont="1" applyBorder="1"/>
    <xf numFmtId="3" fontId="6" fillId="0" borderId="39" xfId="0" applyNumberFormat="1" applyFont="1" applyBorder="1"/>
    <xf numFmtId="0" fontId="7" fillId="0" borderId="16" xfId="0" applyFont="1" applyBorder="1" applyAlignment="1">
      <alignment horizontal="center"/>
    </xf>
    <xf numFmtId="3" fontId="7" fillId="0" borderId="16" xfId="0" applyNumberFormat="1" applyFont="1" applyBorder="1"/>
    <xf numFmtId="3" fontId="7" fillId="0" borderId="17" xfId="0" applyNumberFormat="1" applyFont="1" applyBorder="1"/>
    <xf numFmtId="0" fontId="6" fillId="0" borderId="43" xfId="0" applyFont="1" applyBorder="1"/>
    <xf numFmtId="0" fontId="6" fillId="0" borderId="62" xfId="0" applyFont="1" applyBorder="1"/>
    <xf numFmtId="0" fontId="6" fillId="0" borderId="63" xfId="0" applyFont="1" applyBorder="1"/>
    <xf numFmtId="0" fontId="7" fillId="0" borderId="18" xfId="0" applyFont="1" applyBorder="1" applyAlignment="1">
      <alignment horizontal="center"/>
    </xf>
    <xf numFmtId="0" fontId="6" fillId="0" borderId="44" xfId="0" applyFont="1" applyBorder="1"/>
    <xf numFmtId="0" fontId="6" fillId="0" borderId="64" xfId="0" applyFont="1" applyBorder="1"/>
    <xf numFmtId="0" fontId="6" fillId="0" borderId="65" xfId="0" applyFont="1" applyBorder="1"/>
    <xf numFmtId="2" fontId="7" fillId="3" borderId="6" xfId="0" applyNumberFormat="1" applyFont="1" applyFill="1" applyBorder="1" applyAlignment="1">
      <alignment horizontal="center"/>
    </xf>
    <xf numFmtId="2" fontId="6" fillId="0" borderId="11" xfId="0" applyNumberFormat="1" applyFont="1" applyBorder="1"/>
    <xf numFmtId="2" fontId="6" fillId="0" borderId="66" xfId="0" applyNumberFormat="1" applyFont="1" applyBorder="1"/>
    <xf numFmtId="2" fontId="6" fillId="0" borderId="13" xfId="0" applyNumberFormat="1" applyFont="1" applyBorder="1"/>
    <xf numFmtId="2" fontId="6" fillId="0" borderId="67" xfId="0" applyNumberFormat="1" applyFont="1" applyBorder="1"/>
    <xf numFmtId="2" fontId="6" fillId="0" borderId="68" xfId="0" applyNumberFormat="1" applyFont="1" applyBorder="1"/>
    <xf numFmtId="169" fontId="6" fillId="0" borderId="58" xfId="0" applyNumberFormat="1" applyFont="1" applyBorder="1"/>
    <xf numFmtId="0" fontId="7" fillId="0" borderId="69" xfId="0" applyFont="1" applyBorder="1"/>
    <xf numFmtId="0" fontId="6" fillId="0" borderId="18" xfId="0" applyFont="1" applyBorder="1"/>
    <xf numFmtId="0" fontId="12" fillId="0" borderId="23" xfId="0" applyFont="1" applyBorder="1"/>
    <xf numFmtId="167" fontId="12" fillId="0" borderId="24" xfId="0" applyNumberFormat="1" applyFont="1" applyBorder="1"/>
    <xf numFmtId="167" fontId="6" fillId="0" borderId="35" xfId="0" applyNumberFormat="1" applyFont="1" applyBorder="1"/>
    <xf numFmtId="167" fontId="6" fillId="0" borderId="24" xfId="0" applyNumberFormat="1" applyFont="1" applyBorder="1"/>
    <xf numFmtId="167" fontId="12" fillId="0" borderId="38" xfId="0" applyNumberFormat="1" applyFont="1" applyBorder="1"/>
    <xf numFmtId="0" fontId="7" fillId="3" borderId="40" xfId="0" applyFont="1" applyFill="1" applyBorder="1" applyAlignment="1">
      <alignment horizontal="center"/>
    </xf>
    <xf numFmtId="167" fontId="6" fillId="3" borderId="41" xfId="0" applyNumberFormat="1" applyFont="1" applyFill="1" applyBorder="1"/>
    <xf numFmtId="167" fontId="6" fillId="3" borderId="42" xfId="0" applyNumberFormat="1" applyFont="1" applyFill="1" applyBorder="1"/>
    <xf numFmtId="167" fontId="12" fillId="0" borderId="45" xfId="0" applyNumberFormat="1" applyFont="1" applyBorder="1"/>
    <xf numFmtId="167" fontId="6" fillId="0" borderId="46" xfId="0" applyNumberFormat="1" applyFont="1" applyBorder="1"/>
    <xf numFmtId="167" fontId="12" fillId="0" borderId="39" xfId="0" applyNumberFormat="1" applyFont="1" applyBorder="1"/>
    <xf numFmtId="167" fontId="6" fillId="0" borderId="38" xfId="0" applyNumberFormat="1" applyFont="1" applyBorder="1"/>
    <xf numFmtId="167" fontId="6" fillId="0" borderId="39" xfId="0" applyNumberFormat="1" applyFont="1" applyBorder="1"/>
    <xf numFmtId="167" fontId="6" fillId="0" borderId="45" xfId="0" applyNumberFormat="1" applyFont="1" applyBorder="1"/>
    <xf numFmtId="167" fontId="6" fillId="0" borderId="59" xfId="0" applyNumberFormat="1" applyFont="1" applyBorder="1"/>
    <xf numFmtId="167" fontId="6" fillId="0" borderId="44" xfId="0" applyNumberFormat="1" applyFont="1" applyBorder="1"/>
    <xf numFmtId="0" fontId="6" fillId="0" borderId="46" xfId="0" applyFont="1" applyBorder="1"/>
    <xf numFmtId="9" fontId="6" fillId="0" borderId="27" xfId="0" applyNumberFormat="1" applyFont="1" applyBorder="1"/>
    <xf numFmtId="167" fontId="6" fillId="0" borderId="28" xfId="0" applyNumberFormat="1" applyFont="1" applyBorder="1"/>
    <xf numFmtId="9" fontId="6" fillId="0" borderId="37" xfId="0" applyNumberFormat="1" applyFont="1" applyBorder="1"/>
    <xf numFmtId="9" fontId="6" fillId="0" borderId="15" xfId="0" applyNumberFormat="1" applyFont="1" applyBorder="1"/>
    <xf numFmtId="167" fontId="6" fillId="0" borderId="16" xfId="0" applyNumberFormat="1" applyFont="1" applyBorder="1"/>
    <xf numFmtId="167" fontId="6" fillId="0" borderId="17" xfId="0" applyNumberFormat="1" applyFont="1" applyBorder="1"/>
    <xf numFmtId="0" fontId="6" fillId="0" borderId="70" xfId="0" applyFont="1" applyBorder="1"/>
    <xf numFmtId="0" fontId="6" fillId="0" borderId="71" xfId="0" applyFont="1" applyBorder="1"/>
    <xf numFmtId="0" fontId="6" fillId="0" borderId="72" xfId="0" applyFont="1" applyBorder="1"/>
    <xf numFmtId="0" fontId="7" fillId="0" borderId="73" xfId="0" applyFont="1" applyBorder="1"/>
    <xf numFmtId="167" fontId="6" fillId="0" borderId="19" xfId="0" applyNumberFormat="1" applyFont="1" applyBorder="1"/>
    <xf numFmtId="0" fontId="6" fillId="0" borderId="74" xfId="0" applyFont="1" applyBorder="1"/>
    <xf numFmtId="10" fontId="6" fillId="0" borderId="20" xfId="0" applyNumberFormat="1" applyFont="1" applyBorder="1"/>
    <xf numFmtId="0" fontId="13" fillId="0" borderId="0" xfId="0" applyFont="1" applyAlignment="1">
      <alignment horizontal="right"/>
    </xf>
    <xf numFmtId="0" fontId="6" fillId="3" borderId="5" xfId="0" applyFont="1" applyFill="1" applyBorder="1"/>
    <xf numFmtId="0" fontId="7" fillId="0" borderId="0" xfId="0" applyFont="1" applyAlignment="1">
      <alignment horizontal="center" wrapText="1"/>
    </xf>
    <xf numFmtId="0" fontId="6" fillId="0" borderId="35" xfId="0" applyFont="1" applyBorder="1"/>
    <xf numFmtId="164" fontId="6" fillId="0" borderId="0" xfId="0" applyNumberFormat="1" applyFont="1"/>
    <xf numFmtId="164" fontId="3" fillId="0" borderId="0" xfId="0" applyNumberFormat="1" applyFont="1"/>
    <xf numFmtId="0" fontId="6" fillId="0" borderId="75" xfId="0" applyFont="1" applyBorder="1"/>
    <xf numFmtId="0" fontId="6" fillId="0" borderId="76" xfId="0" applyFont="1" applyBorder="1"/>
    <xf numFmtId="167" fontId="6" fillId="0" borderId="76" xfId="0" applyNumberFormat="1" applyFont="1" applyBorder="1"/>
    <xf numFmtId="0" fontId="6" fillId="0" borderId="77" xfId="0" applyFont="1" applyBorder="1"/>
    <xf numFmtId="0" fontId="6" fillId="0" borderId="40" xfId="0" applyFont="1" applyBorder="1"/>
    <xf numFmtId="0" fontId="6" fillId="0" borderId="41" xfId="0" applyFont="1" applyBorder="1" applyAlignment="1">
      <alignment horizontal="center"/>
    </xf>
    <xf numFmtId="167" fontId="6" fillId="0" borderId="41" xfId="0" applyNumberFormat="1" applyFont="1" applyBorder="1"/>
    <xf numFmtId="0" fontId="6" fillId="0" borderId="42" xfId="0" applyFont="1" applyBorder="1"/>
    <xf numFmtId="167" fontId="6" fillId="0" borderId="32" xfId="0" applyNumberFormat="1" applyFont="1" applyBorder="1"/>
    <xf numFmtId="167" fontId="6" fillId="0" borderId="0" xfId="0" applyNumberFormat="1" applyFont="1"/>
    <xf numFmtId="172" fontId="6" fillId="0" borderId="0" xfId="0" applyNumberFormat="1" applyFont="1"/>
    <xf numFmtId="172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0" fontId="6" fillId="0" borderId="0" xfId="0" applyNumberFormat="1" applyFont="1"/>
    <xf numFmtId="0" fontId="6" fillId="0" borderId="0" xfId="0" applyFont="1" applyAlignment="1">
      <alignment horizontal="right"/>
    </xf>
    <xf numFmtId="0" fontId="17" fillId="0" borderId="0" xfId="0" applyFont="1"/>
    <xf numFmtId="173" fontId="17" fillId="0" borderId="0" xfId="0" applyNumberFormat="1" applyFont="1"/>
    <xf numFmtId="0" fontId="18" fillId="0" borderId="8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3" fontId="6" fillId="0" borderId="0" xfId="0" applyNumberFormat="1" applyFont="1" applyAlignment="1">
      <alignment horizontal="center" vertical="center" wrapText="1"/>
    </xf>
    <xf numFmtId="173" fontId="6" fillId="0" borderId="0" xfId="0" applyNumberFormat="1" applyFont="1" applyAlignment="1">
      <alignment horizontal="right" vertical="center" wrapText="1"/>
    </xf>
    <xf numFmtId="173" fontId="6" fillId="0" borderId="0" xfId="0" applyNumberFormat="1" applyFont="1"/>
    <xf numFmtId="0" fontId="6" fillId="0" borderId="82" xfId="0" applyFont="1" applyBorder="1"/>
    <xf numFmtId="173" fontId="6" fillId="0" borderId="82" xfId="0" applyNumberFormat="1" applyFont="1" applyBorder="1"/>
    <xf numFmtId="0" fontId="6" fillId="0" borderId="83" xfId="0" applyFont="1" applyBorder="1"/>
    <xf numFmtId="3" fontId="6" fillId="0" borderId="84" xfId="0" applyNumberFormat="1" applyFont="1" applyBorder="1"/>
    <xf numFmtId="3" fontId="6" fillId="0" borderId="85" xfId="0" applyNumberFormat="1" applyFont="1" applyBorder="1"/>
    <xf numFmtId="0" fontId="7" fillId="0" borderId="9" xfId="0" applyFont="1" applyBorder="1"/>
    <xf numFmtId="3" fontId="7" fillId="0" borderId="10" xfId="0" applyNumberFormat="1" applyFont="1" applyBorder="1"/>
    <xf numFmtId="3" fontId="7" fillId="0" borderId="14" xfId="0" applyNumberFormat="1" applyFont="1" applyBorder="1"/>
    <xf numFmtId="0" fontId="7" fillId="0" borderId="9" xfId="0" applyFont="1" applyBorder="1" applyAlignment="1">
      <alignment horizontal="center"/>
    </xf>
    <xf numFmtId="0" fontId="7" fillId="0" borderId="86" xfId="0" applyFont="1" applyBorder="1"/>
    <xf numFmtId="3" fontId="7" fillId="0" borderId="87" xfId="0" applyNumberFormat="1" applyFont="1" applyBorder="1"/>
    <xf numFmtId="3" fontId="7" fillId="0" borderId="88" xfId="0" applyNumberFormat="1" applyFont="1" applyBorder="1"/>
    <xf numFmtId="0" fontId="7" fillId="0" borderId="83" xfId="0" applyFont="1" applyBorder="1"/>
    <xf numFmtId="3" fontId="7" fillId="0" borderId="84" xfId="0" applyNumberFormat="1" applyFont="1" applyBorder="1"/>
    <xf numFmtId="3" fontId="7" fillId="0" borderId="85" xfId="0" applyNumberFormat="1" applyFont="1" applyBorder="1"/>
    <xf numFmtId="0" fontId="6" fillId="0" borderId="57" xfId="0" applyFont="1" applyBorder="1"/>
    <xf numFmtId="3" fontId="6" fillId="0" borderId="59" xfId="0" applyNumberFormat="1" applyFont="1" applyBorder="1"/>
    <xf numFmtId="0" fontId="7" fillId="0" borderId="89" xfId="0" applyFont="1" applyBorder="1"/>
    <xf numFmtId="3" fontId="6" fillId="0" borderId="90" xfId="0" applyNumberFormat="1" applyFont="1" applyBorder="1"/>
    <xf numFmtId="3" fontId="6" fillId="0" borderId="91" xfId="0" applyNumberFormat="1" applyFont="1" applyBorder="1"/>
    <xf numFmtId="0" fontId="7" fillId="0" borderId="40" xfId="0" applyFont="1" applyBorder="1"/>
    <xf numFmtId="3" fontId="7" fillId="0" borderId="41" xfId="0" applyNumberFormat="1" applyFont="1" applyBorder="1"/>
    <xf numFmtId="3" fontId="7" fillId="0" borderId="42" xfId="0" applyNumberFormat="1" applyFont="1" applyBorder="1"/>
    <xf numFmtId="10" fontId="7" fillId="5" borderId="92" xfId="0" applyNumberFormat="1" applyFont="1" applyFill="1" applyBorder="1"/>
    <xf numFmtId="0" fontId="19" fillId="0" borderId="0" xfId="0" applyFont="1"/>
    <xf numFmtId="3" fontId="19" fillId="0" borderId="0" xfId="0" applyNumberFormat="1" applyFont="1"/>
    <xf numFmtId="167" fontId="19" fillId="0" borderId="0" xfId="0" applyNumberFormat="1" applyFont="1"/>
    <xf numFmtId="3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3" fontId="6" fillId="0" borderId="82" xfId="0" applyNumberFormat="1" applyFont="1" applyBorder="1"/>
    <xf numFmtId="0" fontId="6" fillId="0" borderId="0" xfId="0" applyFont="1" applyAlignment="1">
      <alignment horizontal="center"/>
    </xf>
    <xf numFmtId="0" fontId="6" fillId="0" borderId="79" xfId="0" applyFont="1" applyBorder="1"/>
    <xf numFmtId="3" fontId="6" fillId="0" borderId="79" xfId="0" applyNumberFormat="1" applyFont="1" applyBorder="1"/>
    <xf numFmtId="0" fontId="7" fillId="0" borderId="93" xfId="0" applyFont="1" applyBorder="1"/>
    <xf numFmtId="3" fontId="7" fillId="0" borderId="93" xfId="0" applyNumberFormat="1" applyFont="1" applyBorder="1"/>
    <xf numFmtId="0" fontId="7" fillId="0" borderId="93" xfId="0" applyFont="1" applyBorder="1" applyAlignment="1">
      <alignment horizontal="center"/>
    </xf>
    <xf numFmtId="3" fontId="6" fillId="0" borderId="93" xfId="0" applyNumberFormat="1" applyFont="1" applyBorder="1"/>
    <xf numFmtId="3" fontId="6" fillId="5" borderId="92" xfId="0" applyNumberFormat="1" applyFont="1" applyFill="1" applyBorder="1"/>
    <xf numFmtId="0" fontId="6" fillId="0" borderId="9" xfId="0" applyFont="1" applyBorder="1" applyAlignment="1">
      <alignment horizontal="left"/>
    </xf>
    <xf numFmtId="0" fontId="6" fillId="0" borderId="94" xfId="0" applyFont="1" applyBorder="1"/>
    <xf numFmtId="3" fontId="6" fillId="0" borderId="95" xfId="0" applyNumberFormat="1" applyFont="1" applyBorder="1"/>
    <xf numFmtId="3" fontId="6" fillId="0" borderId="96" xfId="0" applyNumberFormat="1" applyFont="1" applyBorder="1"/>
    <xf numFmtId="0" fontId="6" fillId="0" borderId="9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3" fontId="6" fillId="0" borderId="98" xfId="0" applyNumberFormat="1" applyFont="1" applyBorder="1"/>
    <xf numFmtId="3" fontId="6" fillId="0" borderId="99" xfId="0" applyNumberFormat="1" applyFont="1" applyBorder="1"/>
    <xf numFmtId="0" fontId="7" fillId="0" borderId="97" xfId="0" applyFont="1" applyBorder="1"/>
    <xf numFmtId="3" fontId="7" fillId="0" borderId="98" xfId="0" applyNumberFormat="1" applyFont="1" applyBorder="1"/>
    <xf numFmtId="3" fontId="7" fillId="0" borderId="99" xfId="0" applyNumberFormat="1" applyFont="1" applyBorder="1"/>
    <xf numFmtId="0" fontId="7" fillId="0" borderId="0" xfId="0" applyFont="1" applyAlignment="1">
      <alignment horizontal="left"/>
    </xf>
    <xf numFmtId="9" fontId="7" fillId="5" borderId="92" xfId="0" applyNumberFormat="1" applyFont="1" applyFill="1" applyBorder="1" applyAlignment="1">
      <alignment horizontal="right"/>
    </xf>
    <xf numFmtId="0" fontId="7" fillId="3" borderId="8" xfId="0" applyFont="1" applyFill="1" applyBorder="1" applyAlignment="1">
      <alignment horizontal="center"/>
    </xf>
    <xf numFmtId="0" fontId="6" fillId="0" borderId="13" xfId="0" applyFont="1" applyBorder="1"/>
    <xf numFmtId="3" fontId="6" fillId="0" borderId="12" xfId="0" applyNumberFormat="1" applyFont="1" applyBorder="1"/>
    <xf numFmtId="0" fontId="6" fillId="0" borderId="84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/>
    </xf>
    <xf numFmtId="0" fontId="7" fillId="3" borderId="100" xfId="0" applyFont="1" applyFill="1" applyBorder="1" applyAlignment="1">
      <alignment horizontal="center"/>
    </xf>
    <xf numFmtId="0" fontId="7" fillId="3" borderId="101" xfId="0" applyFont="1" applyFill="1" applyBorder="1" applyAlignment="1">
      <alignment horizontal="center"/>
    </xf>
    <xf numFmtId="3" fontId="6" fillId="0" borderId="80" xfId="0" applyNumberFormat="1" applyFont="1" applyBorder="1" applyAlignment="1">
      <alignment horizontal="right"/>
    </xf>
    <xf numFmtId="3" fontId="6" fillId="0" borderId="102" xfId="0" applyNumberFormat="1" applyFont="1" applyBorder="1"/>
    <xf numFmtId="0" fontId="6" fillId="0" borderId="103" xfId="0" applyFont="1" applyBorder="1"/>
    <xf numFmtId="166" fontId="7" fillId="0" borderId="0" xfId="0" applyNumberFormat="1" applyFont="1"/>
    <xf numFmtId="174" fontId="7" fillId="0" borderId="0" xfId="0" applyNumberFormat="1" applyFont="1"/>
    <xf numFmtId="0" fontId="7" fillId="0" borderId="70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6" fillId="0" borderId="73" xfId="0" applyFont="1" applyBorder="1"/>
    <xf numFmtId="0" fontId="6" fillId="0" borderId="19" xfId="0" applyFont="1" applyBorder="1"/>
    <xf numFmtId="3" fontId="6" fillId="0" borderId="104" xfId="0" applyNumberFormat="1" applyFont="1" applyBorder="1"/>
    <xf numFmtId="0" fontId="7" fillId="0" borderId="73" xfId="0" applyFont="1" applyBorder="1" applyAlignment="1">
      <alignment horizontal="center"/>
    </xf>
    <xf numFmtId="3" fontId="7" fillId="0" borderId="0" xfId="0" applyNumberFormat="1" applyFont="1"/>
    <xf numFmtId="3" fontId="6" fillId="0" borderId="105" xfId="0" applyNumberFormat="1" applyFont="1" applyBorder="1"/>
    <xf numFmtId="3" fontId="6" fillId="0" borderId="106" xfId="0" applyNumberFormat="1" applyFont="1" applyBorder="1"/>
    <xf numFmtId="3" fontId="6" fillId="0" borderId="107" xfId="0" applyNumberFormat="1" applyFont="1" applyBorder="1"/>
    <xf numFmtId="3" fontId="6" fillId="0" borderId="61" xfId="0" applyNumberFormat="1" applyFont="1" applyBorder="1"/>
    <xf numFmtId="0" fontId="22" fillId="0" borderId="0" xfId="0" applyFont="1"/>
    <xf numFmtId="0" fontId="22" fillId="0" borderId="108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108" xfId="0" applyBorder="1"/>
    <xf numFmtId="0" fontId="0" fillId="0" borderId="92" xfId="0" applyBorder="1" applyAlignment="1">
      <alignment horizontal="center"/>
    </xf>
    <xf numFmtId="0" fontId="0" fillId="0" borderId="92" xfId="0" applyBorder="1"/>
    <xf numFmtId="0" fontId="22" fillId="6" borderId="108" xfId="0" applyFont="1" applyFill="1" applyBorder="1"/>
    <xf numFmtId="0" fontId="22" fillId="7" borderId="108" xfId="0" applyFont="1" applyFill="1" applyBorder="1" applyAlignment="1">
      <alignment horizontal="center"/>
    </xf>
    <xf numFmtId="3" fontId="0" fillId="0" borderId="108" xfId="0" applyNumberFormat="1" applyBorder="1" applyAlignment="1">
      <alignment horizontal="center"/>
    </xf>
    <xf numFmtId="2" fontId="0" fillId="0" borderId="108" xfId="0" applyNumberFormat="1" applyBorder="1" applyAlignment="1">
      <alignment horizontal="center"/>
    </xf>
    <xf numFmtId="0" fontId="23" fillId="6" borderId="108" xfId="0" applyFont="1" applyFill="1" applyBorder="1" applyAlignment="1">
      <alignment horizontal="center"/>
    </xf>
    <xf numFmtId="0" fontId="22" fillId="8" borderId="92" xfId="0" applyFont="1" applyFill="1" applyBorder="1"/>
    <xf numFmtId="2" fontId="0" fillId="9" borderId="108" xfId="0" applyNumberFormat="1" applyFill="1" applyBorder="1" applyAlignment="1">
      <alignment horizontal="center"/>
    </xf>
    <xf numFmtId="175" fontId="23" fillId="10" borderId="108" xfId="1" applyNumberFormat="1" applyFont="1" applyFill="1" applyBorder="1" applyAlignment="1"/>
    <xf numFmtId="0" fontId="0" fillId="0" borderId="108" xfId="0" applyBorder="1" applyAlignment="1">
      <alignment horizontal="center"/>
    </xf>
    <xf numFmtId="44" fontId="23" fillId="6" borderId="108" xfId="2" applyFont="1" applyFill="1" applyBorder="1" applyAlignment="1">
      <alignment horizontal="center"/>
    </xf>
    <xf numFmtId="0" fontId="24" fillId="7" borderId="108" xfId="0" applyFont="1" applyFill="1" applyBorder="1" applyAlignment="1">
      <alignment horizontal="center" vertical="center" wrapText="1"/>
    </xf>
    <xf numFmtId="0" fontId="22" fillId="6" borderId="0" xfId="0" applyFont="1" applyFill="1" applyAlignment="1">
      <alignment horizontal="center" vertical="center"/>
    </xf>
    <xf numFmtId="0" fontId="22" fillId="0" borderId="108" xfId="0" applyFont="1" applyBorder="1" applyAlignment="1">
      <alignment horizontal="center"/>
    </xf>
    <xf numFmtId="0" fontId="15" fillId="0" borderId="78" xfId="0" applyFont="1" applyBorder="1" applyAlignment="1">
      <alignment horizontal="right"/>
    </xf>
    <xf numFmtId="0" fontId="16" fillId="0" borderId="79" xfId="0" applyFont="1" applyBorder="1"/>
    <xf numFmtId="0" fontId="16" fillId="0" borderId="80" xfId="0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500" b="1" i="0">
                <a:solidFill>
                  <a:srgbClr val="000000"/>
                </a:solidFill>
                <a:latin typeface="+mn-lt"/>
              </a:defRPr>
            </a:pPr>
            <a:r>
              <a:rPr lang="es-CO" sz="1500" b="1" i="0">
                <a:solidFill>
                  <a:srgbClr val="000000"/>
                </a:solidFill>
                <a:latin typeface="+mn-lt"/>
              </a:rPr>
              <a:t>Punto de Equilibrio Económico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tx>
            <c:strRef>
              <c:f>Equilibrio!$A$46</c:f>
              <c:strCache>
                <c:ptCount val="1"/>
                <c:pt idx="0">
                  <c:v>Ventas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000080"/>
              </a:solidFill>
              <a:ln cmpd="sng">
                <a:solidFill>
                  <a:srgbClr val="000080"/>
                </a:solidFill>
              </a:ln>
            </c:spPr>
          </c:marker>
          <c:xVal>
            <c:numRef>
              <c:f>Equilibrio!$B$45:$E$45</c:f>
              <c:numCache>
                <c:formatCode>#,##0</c:formatCode>
                <c:ptCount val="4"/>
                <c:pt idx="0">
                  <c:v>0</c:v>
                </c:pt>
                <c:pt idx="1">
                  <c:v>5716.9939651645709</c:v>
                </c:pt>
                <c:pt idx="2">
                  <c:v>11433.987930329142</c:v>
                </c:pt>
                <c:pt idx="3">
                  <c:v>17150.981895493715</c:v>
                </c:pt>
              </c:numCache>
            </c:numRef>
          </c:xVal>
          <c:yVal>
            <c:numRef>
              <c:f>Equilibrio!$B$46:$E$46</c:f>
              <c:numCache>
                <c:formatCode>#,##0</c:formatCode>
                <c:ptCount val="4"/>
                <c:pt idx="0">
                  <c:v>0</c:v>
                </c:pt>
                <c:pt idx="1">
                  <c:v>170962421.82316205</c:v>
                </c:pt>
                <c:pt idx="2">
                  <c:v>341924843.6463241</c:v>
                </c:pt>
                <c:pt idx="3">
                  <c:v>512887265.46948618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0A-4352-9A94-57BC32E423FD}"/>
            </c:ext>
          </c:extLst>
        </c:ser>
        <c:ser>
          <c:idx val="1"/>
          <c:order val="1"/>
          <c:tx>
            <c:strRef>
              <c:f>Equilibrio!$A$47</c:f>
              <c:strCache>
                <c:ptCount val="1"/>
                <c:pt idx="0">
                  <c:v>Costo Total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00FF"/>
              </a:solidFill>
              <a:ln cmpd="sng">
                <a:solidFill>
                  <a:srgbClr val="FF00FF"/>
                </a:solidFill>
              </a:ln>
            </c:spPr>
          </c:marker>
          <c:xVal>
            <c:numRef>
              <c:f>Equilibrio!$B$45:$E$45</c:f>
              <c:numCache>
                <c:formatCode>#,##0</c:formatCode>
                <c:ptCount val="4"/>
                <c:pt idx="0">
                  <c:v>0</c:v>
                </c:pt>
                <c:pt idx="1">
                  <c:v>5716.9939651645709</c:v>
                </c:pt>
                <c:pt idx="2">
                  <c:v>11433.987930329142</c:v>
                </c:pt>
                <c:pt idx="3">
                  <c:v>17150.981895493715</c:v>
                </c:pt>
              </c:numCache>
            </c:numRef>
          </c:xVal>
          <c:yVal>
            <c:numRef>
              <c:f>Equilibrio!$B$47:$E$47</c:f>
              <c:numCache>
                <c:formatCode>#,##0</c:formatCode>
                <c:ptCount val="4"/>
                <c:pt idx="0">
                  <c:v>192473451.14002159</c:v>
                </c:pt>
                <c:pt idx="1">
                  <c:v>267199147.39317286</c:v>
                </c:pt>
                <c:pt idx="2">
                  <c:v>341924843.6463241</c:v>
                </c:pt>
                <c:pt idx="3">
                  <c:v>416650539.8994754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0A-4352-9A94-57BC32E423FD}"/>
            </c:ext>
          </c:extLst>
        </c:ser>
        <c:ser>
          <c:idx val="2"/>
          <c:order val="2"/>
          <c:tx>
            <c:strRef>
              <c:f>Equilibrio!$A$48</c:f>
              <c:strCache>
                <c:ptCount val="1"/>
                <c:pt idx="0">
                  <c:v>Costo Fijo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FFFF00"/>
              </a:solidFill>
              <a:ln cmpd="sng">
                <a:solidFill>
                  <a:srgbClr val="FFFF00"/>
                </a:solidFill>
              </a:ln>
            </c:spPr>
          </c:marker>
          <c:xVal>
            <c:numRef>
              <c:f>Equilibrio!$B$45:$E$45</c:f>
              <c:numCache>
                <c:formatCode>#,##0</c:formatCode>
                <c:ptCount val="4"/>
                <c:pt idx="0">
                  <c:v>0</c:v>
                </c:pt>
                <c:pt idx="1">
                  <c:v>5716.9939651645709</c:v>
                </c:pt>
                <c:pt idx="2">
                  <c:v>11433.987930329142</c:v>
                </c:pt>
                <c:pt idx="3">
                  <c:v>17150.981895493715</c:v>
                </c:pt>
              </c:numCache>
            </c:numRef>
          </c:xVal>
          <c:yVal>
            <c:numRef>
              <c:f>Equilibrio!$B$48:$E$48</c:f>
              <c:numCache>
                <c:formatCode>#,##0</c:formatCode>
                <c:ptCount val="4"/>
                <c:pt idx="0">
                  <c:v>192473451.14002159</c:v>
                </c:pt>
                <c:pt idx="1">
                  <c:v>192473451.14002159</c:v>
                </c:pt>
                <c:pt idx="2">
                  <c:v>192473451.14002159</c:v>
                </c:pt>
                <c:pt idx="3">
                  <c:v>192473451.14002159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90A-4352-9A94-57BC32E4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4557449"/>
        <c:axId val="2003134012"/>
      </c:scatterChart>
      <c:valAx>
        <c:axId val="175455744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CO" sz="1200" b="1" i="0">
                    <a:solidFill>
                      <a:srgbClr val="000000"/>
                    </a:solidFill>
                    <a:latin typeface="+mn-lt"/>
                  </a:rPr>
                  <a:t>Unidades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2003134012"/>
        <c:crosses val="autoZero"/>
        <c:crossBetween val="midCat"/>
      </c:valAx>
      <c:valAx>
        <c:axId val="20031340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s-CO" sz="1200" b="1" i="0">
                    <a:solidFill>
                      <a:srgbClr val="000000"/>
                    </a:solidFill>
                    <a:latin typeface="+mn-lt"/>
                  </a:rPr>
                  <a:t>Pesos</a:t>
                </a:r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s-CO"/>
          </a:p>
        </c:txPr>
        <c:crossAx val="1754557449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s-CO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6</xdr:row>
      <xdr:rowOff>9525</xdr:rowOff>
    </xdr:from>
    <xdr:ext cx="7486650" cy="4343400"/>
    <xdr:graphicFrame macro="">
      <xdr:nvGraphicFramePr>
        <xdr:cNvPr id="2" name="Chart 1" descr="Chart 0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298B5-B010-45C2-BB7E-FDF3B7561B42}">
  <dimension ref="A1:E21"/>
  <sheetViews>
    <sheetView tabSelected="1" workbookViewId="0">
      <selection activeCell="G19" sqref="G19"/>
    </sheetView>
  </sheetViews>
  <sheetFormatPr baseColWidth="10" defaultRowHeight="12.75" x14ac:dyDescent="0.2"/>
  <cols>
    <col min="1" max="1" width="39.28515625" customWidth="1"/>
    <col min="2" max="2" width="24.42578125" customWidth="1"/>
    <col min="3" max="3" width="3.28515625" customWidth="1"/>
    <col min="4" max="4" width="19.7109375" customWidth="1"/>
    <col min="5" max="5" width="46.7109375" customWidth="1"/>
  </cols>
  <sheetData>
    <row r="1" spans="1:5" x14ac:dyDescent="0.2">
      <c r="A1" s="339" t="s">
        <v>267</v>
      </c>
      <c r="B1" s="339"/>
      <c r="C1" s="339"/>
      <c r="D1" s="339"/>
      <c r="E1" s="339"/>
    </row>
    <row r="2" spans="1:5" x14ac:dyDescent="0.2">
      <c r="A2" s="339"/>
      <c r="B2" s="339"/>
      <c r="C2" s="339"/>
      <c r="D2" s="339"/>
      <c r="E2" s="339"/>
    </row>
    <row r="3" spans="1:5" ht="15" x14ac:dyDescent="0.25">
      <c r="A3" s="322"/>
    </row>
    <row r="4" spans="1:5" ht="15" x14ac:dyDescent="0.25">
      <c r="A4" s="323" t="s">
        <v>268</v>
      </c>
      <c r="B4" s="323" t="s">
        <v>278</v>
      </c>
      <c r="C4" s="340" t="s">
        <v>269</v>
      </c>
      <c r="D4" s="340"/>
    </row>
    <row r="5" spans="1:5" x14ac:dyDescent="0.2">
      <c r="A5" s="324">
        <v>2022</v>
      </c>
      <c r="B5" s="330">
        <f>Evaluacion!C12</f>
        <v>1902257382</v>
      </c>
      <c r="C5" s="336">
        <f>B5/((1+$B$19)^1)</f>
        <v>1230443655.1815062</v>
      </c>
      <c r="D5" s="336"/>
    </row>
    <row r="6" spans="1:5" x14ac:dyDescent="0.2">
      <c r="A6" s="324">
        <v>2023</v>
      </c>
      <c r="B6" s="330">
        <f>Evaluacion!D12</f>
        <v>162201688.4782505</v>
      </c>
      <c r="C6" s="336">
        <f>B6/((1+$B$19)^2)</f>
        <v>67864128.585026562</v>
      </c>
      <c r="D6" s="336"/>
    </row>
    <row r="7" spans="1:5" x14ac:dyDescent="0.2">
      <c r="A7" s="324">
        <v>2024</v>
      </c>
      <c r="B7" s="330">
        <f>Evaluacion!E12</f>
        <v>286223726.7556715</v>
      </c>
      <c r="C7" s="336">
        <f>B7/((1+$B$19)^3)</f>
        <v>77460980.724386007</v>
      </c>
      <c r="D7" s="336"/>
    </row>
    <row r="8" spans="1:5" x14ac:dyDescent="0.2">
      <c r="A8" s="324">
        <v>2025</v>
      </c>
      <c r="B8" s="330">
        <f>Evaluacion!F12</f>
        <v>308317500.6672492</v>
      </c>
      <c r="C8" s="336">
        <f>B8/((1+$B$19)^4)</f>
        <v>53971935.034344658</v>
      </c>
      <c r="D8" s="336"/>
    </row>
    <row r="9" spans="1:5" x14ac:dyDescent="0.2">
      <c r="A9" s="324">
        <v>2026</v>
      </c>
      <c r="B9" s="330">
        <f>Evaluacion!G12</f>
        <v>216522013.73620105</v>
      </c>
      <c r="C9" s="336">
        <f>B9/((1+$B$19)^5)</f>
        <v>24516830.39909219</v>
      </c>
      <c r="D9" s="336"/>
    </row>
    <row r="10" spans="1:5" ht="15" x14ac:dyDescent="0.25">
      <c r="A10" s="326"/>
      <c r="B10" s="327"/>
      <c r="C10" s="337">
        <f>SUM(C5:D9)</f>
        <v>1454257529.9243555</v>
      </c>
      <c r="D10" s="337"/>
      <c r="E10" s="328" t="s">
        <v>270</v>
      </c>
    </row>
    <row r="11" spans="1:5" ht="15" x14ac:dyDescent="0.25">
      <c r="A11" s="326"/>
      <c r="B11" s="327"/>
      <c r="E11" s="333"/>
    </row>
    <row r="13" spans="1:5" ht="15" x14ac:dyDescent="0.25">
      <c r="A13" s="323" t="s">
        <v>271</v>
      </c>
      <c r="B13" s="330">
        <f>Balance!B8</f>
        <v>1103460707.7163272</v>
      </c>
      <c r="E13" s="329" t="s">
        <v>272</v>
      </c>
    </row>
    <row r="14" spans="1:5" ht="15" x14ac:dyDescent="0.25">
      <c r="A14" s="323" t="s">
        <v>273</v>
      </c>
      <c r="B14" s="330">
        <f>Balance!E10</f>
        <v>8494318.8563489094</v>
      </c>
      <c r="E14" s="338" t="s">
        <v>282</v>
      </c>
    </row>
    <row r="15" spans="1:5" ht="15" x14ac:dyDescent="0.25">
      <c r="A15" s="323" t="s">
        <v>274</v>
      </c>
      <c r="B15" s="330">
        <f>Balance!E19</f>
        <v>1109760707.7163272</v>
      </c>
      <c r="E15" s="338"/>
    </row>
    <row r="16" spans="1:5" ht="15" x14ac:dyDescent="0.25">
      <c r="A16" s="323" t="s">
        <v>275</v>
      </c>
      <c r="B16" s="331">
        <v>0.55000000000000004</v>
      </c>
      <c r="C16" s="325" t="s">
        <v>142</v>
      </c>
      <c r="E16" s="338"/>
    </row>
    <row r="17" spans="1:5" ht="15" x14ac:dyDescent="0.25">
      <c r="A17" s="323" t="s">
        <v>276</v>
      </c>
      <c r="B17" s="331">
        <v>0.03</v>
      </c>
      <c r="C17" s="325" t="s">
        <v>142</v>
      </c>
      <c r="E17" s="338"/>
    </row>
    <row r="18" spans="1:5" ht="15" x14ac:dyDescent="0.25">
      <c r="A18" s="323" t="s">
        <v>277</v>
      </c>
      <c r="B18" s="331">
        <v>0.25</v>
      </c>
      <c r="C18" s="325" t="s">
        <v>142</v>
      </c>
    </row>
    <row r="19" spans="1:5" ht="15" x14ac:dyDescent="0.25">
      <c r="A19" s="323" t="s">
        <v>279</v>
      </c>
      <c r="B19" s="332">
        <f>(B16*(B15/(B14+B15))+(B17*(1-B18)*(B14/(B14+B15))))</f>
        <v>0.54599308468082008</v>
      </c>
      <c r="C19" s="325" t="s">
        <v>142</v>
      </c>
    </row>
    <row r="20" spans="1:5" ht="15" x14ac:dyDescent="0.25">
      <c r="A20" s="323" t="s">
        <v>280</v>
      </c>
      <c r="B20" s="334">
        <v>0.5</v>
      </c>
      <c r="C20" s="325" t="s">
        <v>142</v>
      </c>
    </row>
    <row r="21" spans="1:5" ht="15" x14ac:dyDescent="0.25">
      <c r="A21" s="323" t="s">
        <v>281</v>
      </c>
      <c r="B21" s="335">
        <f>C9/(B16-B20)</f>
        <v>490336607.98184335</v>
      </c>
    </row>
  </sheetData>
  <mergeCells count="9">
    <mergeCell ref="C9:D9"/>
    <mergeCell ref="C10:D10"/>
    <mergeCell ref="E14:E17"/>
    <mergeCell ref="A1:E2"/>
    <mergeCell ref="C4:D4"/>
    <mergeCell ref="C5:D5"/>
    <mergeCell ref="C6:D6"/>
    <mergeCell ref="C7:D7"/>
    <mergeCell ref="C8:D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000"/>
  <sheetViews>
    <sheetView workbookViewId="0"/>
  </sheetViews>
  <sheetFormatPr baseColWidth="10" defaultColWidth="12.5703125" defaultRowHeight="15" customHeight="1" x14ac:dyDescent="0.2"/>
  <cols>
    <col min="1" max="1" width="5.7109375" customWidth="1"/>
    <col min="2" max="2" width="30.7109375" customWidth="1"/>
    <col min="3" max="12" width="8.7109375" customWidth="1"/>
    <col min="13" max="14" width="10.7109375" customWidth="1"/>
    <col min="15" max="26" width="10" customWidth="1"/>
  </cols>
  <sheetData>
    <row r="1" spans="1:15" ht="20.25" customHeight="1" x14ac:dyDescent="0.3">
      <c r="A1" s="6"/>
      <c r="L1" s="7" t="str">
        <f>Productos!G1</f>
        <v>Heladería DANG</v>
      </c>
    </row>
    <row r="2" spans="1:15" ht="20.25" customHeight="1" x14ac:dyDescent="0.3">
      <c r="L2" s="7"/>
    </row>
    <row r="3" spans="1:15" ht="20.25" customHeight="1" x14ac:dyDescent="0.3">
      <c r="L3" s="7"/>
    </row>
    <row r="4" spans="1:15" ht="13.5" customHeight="1" x14ac:dyDescent="0.2"/>
    <row r="5" spans="1:15" ht="13.5" customHeight="1" x14ac:dyDescent="0.2">
      <c r="A5" s="12" t="s">
        <v>142</v>
      </c>
      <c r="B5" s="13" t="s">
        <v>152</v>
      </c>
      <c r="C5" s="14" t="str">
        <f>Ventas!C3</f>
        <v>Enero</v>
      </c>
      <c r="D5" s="14" t="str">
        <f>Ventas!D3</f>
        <v>Febrero</v>
      </c>
      <c r="E5" s="14" t="str">
        <f>Ventas!E3</f>
        <v>Marzo</v>
      </c>
      <c r="F5" s="14" t="str">
        <f>Ventas!F3</f>
        <v>Abril</v>
      </c>
      <c r="G5" s="14" t="str">
        <f>Ventas!G3</f>
        <v>Mayo</v>
      </c>
      <c r="H5" s="14" t="str">
        <f>Ventas!H3</f>
        <v>Junio</v>
      </c>
      <c r="I5" s="14" t="str">
        <f>Ventas!I3</f>
        <v>Julio</v>
      </c>
      <c r="J5" s="14" t="str">
        <f>Ventas!J3</f>
        <v>Agosto</v>
      </c>
      <c r="K5" s="14" t="str">
        <f>Ventas!K3</f>
        <v>Sept.</v>
      </c>
      <c r="L5" s="14" t="str">
        <f>Ventas!L3</f>
        <v>Oct.</v>
      </c>
      <c r="M5" s="14" t="str">
        <f>Ventas!M3</f>
        <v>Nov.</v>
      </c>
      <c r="N5" s="14" t="str">
        <f>Ventas!N3</f>
        <v>Dic.</v>
      </c>
      <c r="O5" s="155" t="s">
        <v>99</v>
      </c>
    </row>
    <row r="6" spans="1:15" ht="12.75" customHeight="1" x14ac:dyDescent="0.2">
      <c r="A6" s="170"/>
      <c r="B6" s="174" t="s">
        <v>153</v>
      </c>
      <c r="C6" s="201">
        <f>Compras!D18</f>
        <v>332000000</v>
      </c>
      <c r="D6" s="201">
        <f>Compras!E18</f>
        <v>133500000</v>
      </c>
      <c r="E6" s="201">
        <f>Compras!F18</f>
        <v>406000000</v>
      </c>
      <c r="F6" s="201">
        <f>Compras!G18</f>
        <v>78500000</v>
      </c>
      <c r="G6" s="201">
        <f>Compras!H18</f>
        <v>42000000</v>
      </c>
      <c r="H6" s="201">
        <f>Compras!I18</f>
        <v>65600000</v>
      </c>
      <c r="I6" s="201">
        <f>Compras!J18</f>
        <v>31400000</v>
      </c>
      <c r="J6" s="201">
        <f>Compras!K18</f>
        <v>58400000</v>
      </c>
      <c r="K6" s="201">
        <f>Compras!L18</f>
        <v>64600000</v>
      </c>
      <c r="L6" s="201">
        <f>Compras!M18</f>
        <v>110500000</v>
      </c>
      <c r="M6" s="201">
        <f>Compras!N18</f>
        <v>245500000</v>
      </c>
      <c r="N6" s="201">
        <f>Compras!O18</f>
        <v>188000000</v>
      </c>
      <c r="O6" s="199">
        <f>SUM(C6:N6)</f>
        <v>1756000000</v>
      </c>
    </row>
    <row r="7" spans="1:15" ht="12.75" customHeight="1" x14ac:dyDescent="0.2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202"/>
    </row>
    <row r="8" spans="1:15" ht="12.75" customHeight="1" x14ac:dyDescent="0.2">
      <c r="A8" s="203"/>
      <c r="B8" s="161" t="s">
        <v>154</v>
      </c>
      <c r="C8" s="204">
        <f t="shared" ref="C8:N8" si="0">+C$6*$A8</f>
        <v>0</v>
      </c>
      <c r="D8" s="204">
        <f t="shared" si="0"/>
        <v>0</v>
      </c>
      <c r="E8" s="204">
        <f t="shared" si="0"/>
        <v>0</v>
      </c>
      <c r="F8" s="204">
        <f t="shared" si="0"/>
        <v>0</v>
      </c>
      <c r="G8" s="204">
        <f t="shared" si="0"/>
        <v>0</v>
      </c>
      <c r="H8" s="204">
        <f t="shared" si="0"/>
        <v>0</v>
      </c>
      <c r="I8" s="204">
        <f t="shared" si="0"/>
        <v>0</v>
      </c>
      <c r="J8" s="204">
        <f t="shared" si="0"/>
        <v>0</v>
      </c>
      <c r="K8" s="204">
        <f t="shared" si="0"/>
        <v>0</v>
      </c>
      <c r="L8" s="204">
        <f t="shared" si="0"/>
        <v>0</v>
      </c>
      <c r="M8" s="204">
        <f t="shared" si="0"/>
        <v>0</v>
      </c>
      <c r="N8" s="204">
        <f t="shared" si="0"/>
        <v>0</v>
      </c>
      <c r="O8" s="195">
        <f t="shared" ref="O8:O14" si="1">SUM(C8:N8)</f>
        <v>0</v>
      </c>
    </row>
    <row r="9" spans="1:15" ht="12.75" customHeight="1" x14ac:dyDescent="0.2">
      <c r="A9" s="203">
        <v>0.5</v>
      </c>
      <c r="B9" s="161" t="s">
        <v>155</v>
      </c>
      <c r="C9" s="204"/>
      <c r="D9" s="204">
        <f t="shared" ref="D9:N9" si="2">+$A9*C$6</f>
        <v>166000000</v>
      </c>
      <c r="E9" s="204">
        <f t="shared" si="2"/>
        <v>66750000</v>
      </c>
      <c r="F9" s="204">
        <f t="shared" si="2"/>
        <v>203000000</v>
      </c>
      <c r="G9" s="204">
        <f t="shared" si="2"/>
        <v>39250000</v>
      </c>
      <c r="H9" s="204">
        <f t="shared" si="2"/>
        <v>21000000</v>
      </c>
      <c r="I9" s="204">
        <f t="shared" si="2"/>
        <v>32800000</v>
      </c>
      <c r="J9" s="204">
        <f t="shared" si="2"/>
        <v>15700000</v>
      </c>
      <c r="K9" s="204">
        <f t="shared" si="2"/>
        <v>29200000</v>
      </c>
      <c r="L9" s="204">
        <f t="shared" si="2"/>
        <v>32300000</v>
      </c>
      <c r="M9" s="204">
        <f t="shared" si="2"/>
        <v>55250000</v>
      </c>
      <c r="N9" s="204">
        <f t="shared" si="2"/>
        <v>122750000</v>
      </c>
      <c r="O9" s="195">
        <f t="shared" si="1"/>
        <v>784000000</v>
      </c>
    </row>
    <row r="10" spans="1:15" ht="12.75" customHeight="1" x14ac:dyDescent="0.2">
      <c r="A10" s="203">
        <v>0.5</v>
      </c>
      <c r="B10" s="161" t="s">
        <v>156</v>
      </c>
      <c r="C10" s="204"/>
      <c r="D10" s="204"/>
      <c r="E10" s="204">
        <f t="shared" ref="E10:N10" si="3">+C$6*$A10</f>
        <v>166000000</v>
      </c>
      <c r="F10" s="204">
        <f t="shared" si="3"/>
        <v>66750000</v>
      </c>
      <c r="G10" s="204">
        <f t="shared" si="3"/>
        <v>203000000</v>
      </c>
      <c r="H10" s="204">
        <f t="shared" si="3"/>
        <v>39250000</v>
      </c>
      <c r="I10" s="204">
        <f t="shared" si="3"/>
        <v>21000000</v>
      </c>
      <c r="J10" s="204">
        <f t="shared" si="3"/>
        <v>32800000</v>
      </c>
      <c r="K10" s="204">
        <f t="shared" si="3"/>
        <v>15700000</v>
      </c>
      <c r="L10" s="204">
        <f t="shared" si="3"/>
        <v>29200000</v>
      </c>
      <c r="M10" s="204">
        <f t="shared" si="3"/>
        <v>32300000</v>
      </c>
      <c r="N10" s="204">
        <f t="shared" si="3"/>
        <v>55250000</v>
      </c>
      <c r="O10" s="195">
        <f t="shared" si="1"/>
        <v>661250000</v>
      </c>
    </row>
    <row r="11" spans="1:15" ht="12.75" customHeight="1" x14ac:dyDescent="0.2">
      <c r="A11" s="203"/>
      <c r="B11" s="161" t="s">
        <v>157</v>
      </c>
      <c r="C11" s="204"/>
      <c r="D11" s="204"/>
      <c r="E11" s="204"/>
      <c r="F11" s="204">
        <f t="shared" ref="F11:N11" si="4">+C$6*$A11</f>
        <v>0</v>
      </c>
      <c r="G11" s="204">
        <f t="shared" si="4"/>
        <v>0</v>
      </c>
      <c r="H11" s="204">
        <f t="shared" si="4"/>
        <v>0</v>
      </c>
      <c r="I11" s="204">
        <f t="shared" si="4"/>
        <v>0</v>
      </c>
      <c r="J11" s="204">
        <f t="shared" si="4"/>
        <v>0</v>
      </c>
      <c r="K11" s="204">
        <f t="shared" si="4"/>
        <v>0</v>
      </c>
      <c r="L11" s="204">
        <f t="shared" si="4"/>
        <v>0</v>
      </c>
      <c r="M11" s="204">
        <f t="shared" si="4"/>
        <v>0</v>
      </c>
      <c r="N11" s="204">
        <f t="shared" si="4"/>
        <v>0</v>
      </c>
      <c r="O11" s="195">
        <f t="shared" si="1"/>
        <v>0</v>
      </c>
    </row>
    <row r="12" spans="1:15" ht="12.75" customHeight="1" x14ac:dyDescent="0.2">
      <c r="A12" s="203"/>
      <c r="B12" s="161" t="s">
        <v>158</v>
      </c>
      <c r="C12" s="204"/>
      <c r="D12" s="204"/>
      <c r="E12" s="204"/>
      <c r="F12" s="204"/>
      <c r="G12" s="204">
        <f t="shared" ref="G12:N12" si="5">C$6*$A12</f>
        <v>0</v>
      </c>
      <c r="H12" s="204">
        <f t="shared" si="5"/>
        <v>0</v>
      </c>
      <c r="I12" s="204">
        <f t="shared" si="5"/>
        <v>0</v>
      </c>
      <c r="J12" s="204">
        <f t="shared" si="5"/>
        <v>0</v>
      </c>
      <c r="K12" s="204">
        <f t="shared" si="5"/>
        <v>0</v>
      </c>
      <c r="L12" s="204">
        <f t="shared" si="5"/>
        <v>0</v>
      </c>
      <c r="M12" s="204">
        <f t="shared" si="5"/>
        <v>0</v>
      </c>
      <c r="N12" s="204">
        <f t="shared" si="5"/>
        <v>0</v>
      </c>
      <c r="O12" s="195">
        <f t="shared" si="1"/>
        <v>0</v>
      </c>
    </row>
    <row r="13" spans="1:15" ht="12.75" customHeight="1" x14ac:dyDescent="0.2">
      <c r="A13" s="203"/>
      <c r="B13" s="161" t="s">
        <v>159</v>
      </c>
      <c r="C13" s="204"/>
      <c r="D13" s="204"/>
      <c r="E13" s="204"/>
      <c r="F13" s="204"/>
      <c r="G13" s="204"/>
      <c r="H13" s="204">
        <f t="shared" ref="H13:N13" si="6">+C$6*$A13</f>
        <v>0</v>
      </c>
      <c r="I13" s="204">
        <f t="shared" si="6"/>
        <v>0</v>
      </c>
      <c r="J13" s="204">
        <f t="shared" si="6"/>
        <v>0</v>
      </c>
      <c r="K13" s="204">
        <f t="shared" si="6"/>
        <v>0</v>
      </c>
      <c r="L13" s="204">
        <f t="shared" si="6"/>
        <v>0</v>
      </c>
      <c r="M13" s="204">
        <f t="shared" si="6"/>
        <v>0</v>
      </c>
      <c r="N13" s="204">
        <f t="shared" si="6"/>
        <v>0</v>
      </c>
      <c r="O13" s="195">
        <f t="shared" si="1"/>
        <v>0</v>
      </c>
    </row>
    <row r="14" spans="1:15" ht="13.5" customHeight="1" x14ac:dyDescent="0.2">
      <c r="A14" s="205"/>
      <c r="B14" s="164" t="s">
        <v>160</v>
      </c>
      <c r="C14" s="197"/>
      <c r="D14" s="197"/>
      <c r="E14" s="197"/>
      <c r="F14" s="197"/>
      <c r="G14" s="197"/>
      <c r="H14" s="197"/>
      <c r="I14" s="197">
        <f t="shared" ref="I14:N14" si="7">+C$6*$A14</f>
        <v>0</v>
      </c>
      <c r="J14" s="197">
        <f t="shared" si="7"/>
        <v>0</v>
      </c>
      <c r="K14" s="197">
        <f t="shared" si="7"/>
        <v>0</v>
      </c>
      <c r="L14" s="197">
        <f t="shared" si="7"/>
        <v>0</v>
      </c>
      <c r="M14" s="197">
        <f t="shared" si="7"/>
        <v>0</v>
      </c>
      <c r="N14" s="197">
        <f t="shared" si="7"/>
        <v>0</v>
      </c>
      <c r="O14" s="198">
        <f t="shared" si="1"/>
        <v>0</v>
      </c>
    </row>
    <row r="15" spans="1:15" ht="14.25" customHeight="1" x14ac:dyDescent="0.2">
      <c r="A15" s="206">
        <f>SUM(A8:A14)</f>
        <v>1</v>
      </c>
      <c r="B15" s="26" t="s">
        <v>99</v>
      </c>
      <c r="C15" s="207">
        <f t="shared" ref="C15:O15" si="8">SUM(C8:C14)</f>
        <v>0</v>
      </c>
      <c r="D15" s="207">
        <f t="shared" si="8"/>
        <v>166000000</v>
      </c>
      <c r="E15" s="207">
        <f t="shared" si="8"/>
        <v>232750000</v>
      </c>
      <c r="F15" s="207">
        <f t="shared" si="8"/>
        <v>269750000</v>
      </c>
      <c r="G15" s="207">
        <f t="shared" si="8"/>
        <v>242250000</v>
      </c>
      <c r="H15" s="207">
        <f t="shared" si="8"/>
        <v>60250000</v>
      </c>
      <c r="I15" s="207">
        <f t="shared" si="8"/>
        <v>53800000</v>
      </c>
      <c r="J15" s="207">
        <f t="shared" si="8"/>
        <v>48500000</v>
      </c>
      <c r="K15" s="207">
        <f t="shared" si="8"/>
        <v>44900000</v>
      </c>
      <c r="L15" s="207">
        <f t="shared" si="8"/>
        <v>61500000</v>
      </c>
      <c r="M15" s="207">
        <f t="shared" si="8"/>
        <v>87550000</v>
      </c>
      <c r="N15" s="207">
        <f t="shared" si="8"/>
        <v>178000000</v>
      </c>
      <c r="O15" s="208">
        <f t="shared" si="8"/>
        <v>1445250000</v>
      </c>
    </row>
    <row r="16" spans="1:15" ht="12.75" customHeight="1" x14ac:dyDescent="0.2">
      <c r="M16" s="209"/>
      <c r="N16" s="210"/>
      <c r="O16" s="211"/>
    </row>
    <row r="17" spans="13:15" ht="12.75" customHeight="1" x14ac:dyDescent="0.2">
      <c r="M17" s="212" t="s">
        <v>161</v>
      </c>
      <c r="N17" s="6"/>
      <c r="O17" s="213">
        <f>+O6-O15</f>
        <v>310750000</v>
      </c>
    </row>
    <row r="18" spans="13:15" ht="13.5" customHeight="1" x14ac:dyDescent="0.2">
      <c r="M18" s="214"/>
      <c r="N18" s="154"/>
      <c r="O18" s="215">
        <f>O17/O6</f>
        <v>0.17696469248291571</v>
      </c>
    </row>
    <row r="19" spans="13:15" ht="12.75" customHeight="1" x14ac:dyDescent="0.2"/>
    <row r="20" spans="13:15" ht="12.75" customHeight="1" x14ac:dyDescent="0.2"/>
    <row r="21" spans="13:15" ht="12.75" customHeight="1" x14ac:dyDescent="0.2"/>
    <row r="22" spans="13:15" ht="12.75" customHeight="1" x14ac:dyDescent="0.2"/>
    <row r="23" spans="13:15" ht="12.75" customHeight="1" x14ac:dyDescent="0.2"/>
    <row r="24" spans="13:15" ht="12.75" customHeight="1" x14ac:dyDescent="0.2"/>
    <row r="25" spans="13:15" ht="12.75" customHeight="1" x14ac:dyDescent="0.2"/>
    <row r="26" spans="13:15" ht="12.75" customHeight="1" x14ac:dyDescent="0.2"/>
    <row r="27" spans="13:15" ht="12.75" customHeight="1" x14ac:dyDescent="0.2"/>
    <row r="28" spans="13:15" ht="12.75" customHeight="1" x14ac:dyDescent="0.2"/>
    <row r="29" spans="13:15" ht="12.75" customHeight="1" x14ac:dyDescent="0.2"/>
    <row r="30" spans="13:15" ht="12.75" customHeight="1" x14ac:dyDescent="0.2"/>
    <row r="31" spans="13:15" ht="12.75" customHeight="1" x14ac:dyDescent="0.2"/>
    <row r="32" spans="13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&amp;CProyección Pago a Proveedores de Materias Primas</oddHeader>
    <oddFooter>&amp;Rwww.emprenautas.com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000"/>
  <sheetViews>
    <sheetView workbookViewId="0"/>
  </sheetViews>
  <sheetFormatPr baseColWidth="10" defaultColWidth="12.5703125" defaultRowHeight="15" customHeight="1" x14ac:dyDescent="0.2"/>
  <cols>
    <col min="1" max="1" width="3.7109375" customWidth="1"/>
    <col min="2" max="2" width="37" customWidth="1"/>
    <col min="3" max="3" width="11.85546875" customWidth="1"/>
    <col min="4" max="4" width="10" customWidth="1"/>
    <col min="5" max="5" width="13.140625" customWidth="1"/>
    <col min="6" max="6" width="13" customWidth="1"/>
    <col min="7" max="11" width="15.7109375" customWidth="1"/>
    <col min="12" max="26" width="10" customWidth="1"/>
  </cols>
  <sheetData>
    <row r="1" spans="1:11" ht="18" customHeight="1" x14ac:dyDescent="0.25">
      <c r="B1" s="216" t="str">
        <f>Productos!G1</f>
        <v>Heladería DANG</v>
      </c>
      <c r="D1" s="6"/>
    </row>
    <row r="2" spans="1:11" ht="13.5" customHeight="1" x14ac:dyDescent="0.2"/>
    <row r="3" spans="1:11" ht="26.25" customHeight="1" x14ac:dyDescent="0.2">
      <c r="A3" s="217"/>
      <c r="B3" s="14" t="s">
        <v>162</v>
      </c>
      <c r="C3" s="14" t="s">
        <v>163</v>
      </c>
      <c r="D3" s="15" t="s">
        <v>164</v>
      </c>
      <c r="E3" s="218" t="s">
        <v>165</v>
      </c>
      <c r="F3" s="218" t="s">
        <v>166</v>
      </c>
      <c r="G3" s="218" t="s">
        <v>167</v>
      </c>
      <c r="H3" s="218" t="s">
        <v>168</v>
      </c>
      <c r="I3" s="218" t="s">
        <v>169</v>
      </c>
      <c r="J3" s="218" t="s">
        <v>170</v>
      </c>
      <c r="K3" s="218" t="s">
        <v>171</v>
      </c>
    </row>
    <row r="4" spans="1:11" ht="12.75" customHeight="1" x14ac:dyDescent="0.2">
      <c r="A4" s="156">
        <v>1</v>
      </c>
      <c r="B4" s="157" t="s">
        <v>172</v>
      </c>
      <c r="C4" s="189">
        <v>2000000</v>
      </c>
      <c r="D4" s="219">
        <v>10</v>
      </c>
      <c r="E4" s="220">
        <f t="shared" ref="E4:E23" si="0">IF(C4&gt;0,IF(D4&gt;0,+C4/D4,""),"")</f>
        <v>200000</v>
      </c>
      <c r="F4" s="220">
        <f t="shared" ref="F4:F23" si="1">IF(D4&gt;0,E4/12,"")</f>
        <v>16666.666666666668</v>
      </c>
      <c r="G4" s="221">
        <f t="shared" ref="G4:G23" si="2">IF($D4&gt;0,$E4,0)</f>
        <v>200000</v>
      </c>
      <c r="H4" s="221">
        <f t="shared" ref="H4:H23" si="3">IF($D4&gt;1,$E4,0)</f>
        <v>200000</v>
      </c>
      <c r="I4" s="221">
        <f t="shared" ref="I4:I23" si="4">IF($D4&gt;2,$E4,0)</f>
        <v>200000</v>
      </c>
      <c r="J4" s="221">
        <f t="shared" ref="J4:J23" si="5">IF($D4&gt;3,$E4,0)</f>
        <v>200000</v>
      </c>
      <c r="K4" s="221">
        <f t="shared" ref="K4:K23" si="6">IF($D4&gt;4,$E4,0)</f>
        <v>200000</v>
      </c>
    </row>
    <row r="5" spans="1:11" ht="12.75" customHeight="1" x14ac:dyDescent="0.2">
      <c r="A5" s="160">
        <v>2</v>
      </c>
      <c r="B5" s="161" t="s">
        <v>173</v>
      </c>
      <c r="C5" s="204">
        <v>5000000</v>
      </c>
      <c r="D5" s="202">
        <v>10</v>
      </c>
      <c r="E5" s="220">
        <f t="shared" si="0"/>
        <v>500000</v>
      </c>
      <c r="F5" s="220">
        <f t="shared" si="1"/>
        <v>41666.666666666664</v>
      </c>
      <c r="G5" s="221">
        <f t="shared" si="2"/>
        <v>500000</v>
      </c>
      <c r="H5" s="221">
        <f t="shared" si="3"/>
        <v>500000</v>
      </c>
      <c r="I5" s="221">
        <f t="shared" si="4"/>
        <v>500000</v>
      </c>
      <c r="J5" s="221">
        <f t="shared" si="5"/>
        <v>500000</v>
      </c>
      <c r="K5" s="221">
        <f t="shared" si="6"/>
        <v>500000</v>
      </c>
    </row>
    <row r="6" spans="1:11" ht="12.75" customHeight="1" x14ac:dyDescent="0.2">
      <c r="A6" s="160">
        <v>3</v>
      </c>
      <c r="B6" s="161"/>
      <c r="C6" s="204"/>
      <c r="D6" s="202"/>
      <c r="E6" s="220" t="str">
        <f t="shared" si="0"/>
        <v/>
      </c>
      <c r="F6" s="220" t="str">
        <f t="shared" si="1"/>
        <v/>
      </c>
      <c r="G6" s="35">
        <f t="shared" si="2"/>
        <v>0</v>
      </c>
      <c r="H6" s="35">
        <f t="shared" si="3"/>
        <v>0</v>
      </c>
      <c r="I6" s="35">
        <f t="shared" si="4"/>
        <v>0</v>
      </c>
      <c r="J6" s="35">
        <f t="shared" si="5"/>
        <v>0</v>
      </c>
      <c r="K6" s="35">
        <f t="shared" si="6"/>
        <v>0</v>
      </c>
    </row>
    <row r="7" spans="1:11" ht="12.75" customHeight="1" x14ac:dyDescent="0.2">
      <c r="A7" s="160">
        <v>4</v>
      </c>
      <c r="B7" s="161"/>
      <c r="C7" s="204"/>
      <c r="D7" s="202"/>
      <c r="E7" s="220" t="str">
        <f t="shared" si="0"/>
        <v/>
      </c>
      <c r="F7" s="220" t="str">
        <f t="shared" si="1"/>
        <v/>
      </c>
      <c r="G7" s="35">
        <f t="shared" si="2"/>
        <v>0</v>
      </c>
      <c r="H7" s="35">
        <f t="shared" si="3"/>
        <v>0</v>
      </c>
      <c r="I7" s="35">
        <f t="shared" si="4"/>
        <v>0</v>
      </c>
      <c r="J7" s="35">
        <f t="shared" si="5"/>
        <v>0</v>
      </c>
      <c r="K7" s="35">
        <f t="shared" si="6"/>
        <v>0</v>
      </c>
    </row>
    <row r="8" spans="1:11" ht="12.75" customHeight="1" x14ac:dyDescent="0.2">
      <c r="A8" s="160">
        <v>5</v>
      </c>
      <c r="B8" s="161"/>
      <c r="C8" s="204"/>
      <c r="D8" s="202"/>
      <c r="E8" s="220" t="str">
        <f t="shared" si="0"/>
        <v/>
      </c>
      <c r="F8" s="220" t="str">
        <f t="shared" si="1"/>
        <v/>
      </c>
      <c r="G8" s="35">
        <f t="shared" si="2"/>
        <v>0</v>
      </c>
      <c r="H8" s="35">
        <f t="shared" si="3"/>
        <v>0</v>
      </c>
      <c r="I8" s="35">
        <f t="shared" si="4"/>
        <v>0</v>
      </c>
      <c r="J8" s="35">
        <f t="shared" si="5"/>
        <v>0</v>
      </c>
      <c r="K8" s="35">
        <f t="shared" si="6"/>
        <v>0</v>
      </c>
    </row>
    <row r="9" spans="1:11" ht="12.75" customHeight="1" x14ac:dyDescent="0.2">
      <c r="A9" s="160">
        <v>6</v>
      </c>
      <c r="B9" s="161"/>
      <c r="C9" s="204"/>
      <c r="D9" s="202"/>
      <c r="E9" s="220" t="str">
        <f t="shared" si="0"/>
        <v/>
      </c>
      <c r="F9" s="220" t="str">
        <f t="shared" si="1"/>
        <v/>
      </c>
      <c r="G9" s="35">
        <f t="shared" si="2"/>
        <v>0</v>
      </c>
      <c r="H9" s="35">
        <f t="shared" si="3"/>
        <v>0</v>
      </c>
      <c r="I9" s="35">
        <f t="shared" si="4"/>
        <v>0</v>
      </c>
      <c r="J9" s="35">
        <f t="shared" si="5"/>
        <v>0</v>
      </c>
      <c r="K9" s="35">
        <f t="shared" si="6"/>
        <v>0</v>
      </c>
    </row>
    <row r="10" spans="1:11" ht="12.75" customHeight="1" x14ac:dyDescent="0.2">
      <c r="A10" s="160">
        <v>7</v>
      </c>
      <c r="B10" s="161"/>
      <c r="C10" s="204"/>
      <c r="D10" s="202"/>
      <c r="E10" s="220" t="str">
        <f t="shared" si="0"/>
        <v/>
      </c>
      <c r="F10" s="220" t="str">
        <f t="shared" si="1"/>
        <v/>
      </c>
      <c r="G10" s="35">
        <f t="shared" si="2"/>
        <v>0</v>
      </c>
      <c r="H10" s="35">
        <f t="shared" si="3"/>
        <v>0</v>
      </c>
      <c r="I10" s="35">
        <f t="shared" si="4"/>
        <v>0</v>
      </c>
      <c r="J10" s="35">
        <f t="shared" si="5"/>
        <v>0</v>
      </c>
      <c r="K10" s="35">
        <f t="shared" si="6"/>
        <v>0</v>
      </c>
    </row>
    <row r="11" spans="1:11" ht="12.75" customHeight="1" x14ac:dyDescent="0.2">
      <c r="A11" s="160">
        <v>8</v>
      </c>
      <c r="B11" s="161"/>
      <c r="C11" s="204"/>
      <c r="D11" s="202"/>
      <c r="E11" s="220" t="str">
        <f t="shared" si="0"/>
        <v/>
      </c>
      <c r="F11" s="220" t="str">
        <f t="shared" si="1"/>
        <v/>
      </c>
      <c r="G11" s="35">
        <f t="shared" si="2"/>
        <v>0</v>
      </c>
      <c r="H11" s="35">
        <f t="shared" si="3"/>
        <v>0</v>
      </c>
      <c r="I11" s="35">
        <f t="shared" si="4"/>
        <v>0</v>
      </c>
      <c r="J11" s="35">
        <f t="shared" si="5"/>
        <v>0</v>
      </c>
      <c r="K11" s="35">
        <f t="shared" si="6"/>
        <v>0</v>
      </c>
    </row>
    <row r="12" spans="1:11" ht="12.75" customHeight="1" x14ac:dyDescent="0.2">
      <c r="A12" s="160">
        <v>9</v>
      </c>
      <c r="B12" s="161"/>
      <c r="C12" s="204"/>
      <c r="D12" s="202"/>
      <c r="E12" s="220" t="str">
        <f t="shared" si="0"/>
        <v/>
      </c>
      <c r="F12" s="220" t="str">
        <f t="shared" si="1"/>
        <v/>
      </c>
      <c r="G12" s="35">
        <f t="shared" si="2"/>
        <v>0</v>
      </c>
      <c r="H12" s="35">
        <f t="shared" si="3"/>
        <v>0</v>
      </c>
      <c r="I12" s="35">
        <f t="shared" si="4"/>
        <v>0</v>
      </c>
      <c r="J12" s="35">
        <f t="shared" si="5"/>
        <v>0</v>
      </c>
      <c r="K12" s="35">
        <f t="shared" si="6"/>
        <v>0</v>
      </c>
    </row>
    <row r="13" spans="1:11" ht="12.75" customHeight="1" x14ac:dyDescent="0.2">
      <c r="A13" s="160">
        <v>10</v>
      </c>
      <c r="B13" s="161"/>
      <c r="C13" s="204"/>
      <c r="D13" s="202"/>
      <c r="E13" s="220" t="str">
        <f t="shared" si="0"/>
        <v/>
      </c>
      <c r="F13" s="220" t="str">
        <f t="shared" si="1"/>
        <v/>
      </c>
      <c r="G13" s="35">
        <f t="shared" si="2"/>
        <v>0</v>
      </c>
      <c r="H13" s="35">
        <f t="shared" si="3"/>
        <v>0</v>
      </c>
      <c r="I13" s="35">
        <f t="shared" si="4"/>
        <v>0</v>
      </c>
      <c r="J13" s="35">
        <f t="shared" si="5"/>
        <v>0</v>
      </c>
      <c r="K13" s="35">
        <f t="shared" si="6"/>
        <v>0</v>
      </c>
    </row>
    <row r="14" spans="1:11" ht="12.75" customHeight="1" x14ac:dyDescent="0.2">
      <c r="A14" s="160">
        <v>11</v>
      </c>
      <c r="B14" s="161"/>
      <c r="C14" s="204"/>
      <c r="D14" s="202"/>
      <c r="E14" s="220" t="str">
        <f t="shared" si="0"/>
        <v/>
      </c>
      <c r="F14" s="220" t="str">
        <f t="shared" si="1"/>
        <v/>
      </c>
      <c r="G14" s="35">
        <f t="shared" si="2"/>
        <v>0</v>
      </c>
      <c r="H14" s="35">
        <f t="shared" si="3"/>
        <v>0</v>
      </c>
      <c r="I14" s="35">
        <f t="shared" si="4"/>
        <v>0</v>
      </c>
      <c r="J14" s="35">
        <f t="shared" si="5"/>
        <v>0</v>
      </c>
      <c r="K14" s="35">
        <f t="shared" si="6"/>
        <v>0</v>
      </c>
    </row>
    <row r="15" spans="1:11" ht="12.75" customHeight="1" x14ac:dyDescent="0.2">
      <c r="A15" s="160">
        <v>12</v>
      </c>
      <c r="B15" s="161"/>
      <c r="C15" s="204"/>
      <c r="D15" s="202"/>
      <c r="E15" s="220" t="str">
        <f t="shared" si="0"/>
        <v/>
      </c>
      <c r="F15" s="220" t="str">
        <f t="shared" si="1"/>
        <v/>
      </c>
      <c r="G15" s="35">
        <f t="shared" si="2"/>
        <v>0</v>
      </c>
      <c r="H15" s="35">
        <f t="shared" si="3"/>
        <v>0</v>
      </c>
      <c r="I15" s="35">
        <f t="shared" si="4"/>
        <v>0</v>
      </c>
      <c r="J15" s="35">
        <f t="shared" si="5"/>
        <v>0</v>
      </c>
      <c r="K15" s="35">
        <f t="shared" si="6"/>
        <v>0</v>
      </c>
    </row>
    <row r="16" spans="1:11" ht="12.75" customHeight="1" x14ac:dyDescent="0.2">
      <c r="A16" s="160">
        <v>13</v>
      </c>
      <c r="B16" s="161"/>
      <c r="C16" s="204"/>
      <c r="D16" s="202"/>
      <c r="E16" s="220" t="str">
        <f t="shared" si="0"/>
        <v/>
      </c>
      <c r="F16" s="220" t="str">
        <f t="shared" si="1"/>
        <v/>
      </c>
      <c r="G16" s="35">
        <f t="shared" si="2"/>
        <v>0</v>
      </c>
      <c r="H16" s="35">
        <f t="shared" si="3"/>
        <v>0</v>
      </c>
      <c r="I16" s="35">
        <f t="shared" si="4"/>
        <v>0</v>
      </c>
      <c r="J16" s="35">
        <f t="shared" si="5"/>
        <v>0</v>
      </c>
      <c r="K16" s="35">
        <f t="shared" si="6"/>
        <v>0</v>
      </c>
    </row>
    <row r="17" spans="1:11" ht="12.75" customHeight="1" x14ac:dyDescent="0.2">
      <c r="A17" s="160">
        <v>14</v>
      </c>
      <c r="B17" s="161"/>
      <c r="C17" s="204"/>
      <c r="D17" s="202"/>
      <c r="E17" s="220" t="str">
        <f t="shared" si="0"/>
        <v/>
      </c>
      <c r="F17" s="220" t="str">
        <f t="shared" si="1"/>
        <v/>
      </c>
      <c r="G17" s="35">
        <f t="shared" si="2"/>
        <v>0</v>
      </c>
      <c r="H17" s="35">
        <f t="shared" si="3"/>
        <v>0</v>
      </c>
      <c r="I17" s="35">
        <f t="shared" si="4"/>
        <v>0</v>
      </c>
      <c r="J17" s="35">
        <f t="shared" si="5"/>
        <v>0</v>
      </c>
      <c r="K17" s="35">
        <f t="shared" si="6"/>
        <v>0</v>
      </c>
    </row>
    <row r="18" spans="1:11" ht="12.75" customHeight="1" x14ac:dyDescent="0.2">
      <c r="A18" s="160">
        <v>15</v>
      </c>
      <c r="B18" s="161"/>
      <c r="C18" s="204"/>
      <c r="D18" s="202"/>
      <c r="E18" s="220" t="str">
        <f t="shared" si="0"/>
        <v/>
      </c>
      <c r="F18" s="220" t="str">
        <f t="shared" si="1"/>
        <v/>
      </c>
      <c r="G18" s="35">
        <f t="shared" si="2"/>
        <v>0</v>
      </c>
      <c r="H18" s="35">
        <f t="shared" si="3"/>
        <v>0</v>
      </c>
      <c r="I18" s="35">
        <f t="shared" si="4"/>
        <v>0</v>
      </c>
      <c r="J18" s="35">
        <f t="shared" si="5"/>
        <v>0</v>
      </c>
      <c r="K18" s="35">
        <f t="shared" si="6"/>
        <v>0</v>
      </c>
    </row>
    <row r="19" spans="1:11" ht="12.75" customHeight="1" x14ac:dyDescent="0.2">
      <c r="A19" s="160">
        <v>16</v>
      </c>
      <c r="B19" s="161"/>
      <c r="C19" s="204"/>
      <c r="D19" s="202"/>
      <c r="E19" s="220" t="str">
        <f t="shared" si="0"/>
        <v/>
      </c>
      <c r="F19" s="220" t="str">
        <f t="shared" si="1"/>
        <v/>
      </c>
      <c r="G19" s="35">
        <f t="shared" si="2"/>
        <v>0</v>
      </c>
      <c r="H19" s="35">
        <f t="shared" si="3"/>
        <v>0</v>
      </c>
      <c r="I19" s="35">
        <f t="shared" si="4"/>
        <v>0</v>
      </c>
      <c r="J19" s="35">
        <f t="shared" si="5"/>
        <v>0</v>
      </c>
      <c r="K19" s="35">
        <f t="shared" si="6"/>
        <v>0</v>
      </c>
    </row>
    <row r="20" spans="1:11" ht="12.75" customHeight="1" x14ac:dyDescent="0.2">
      <c r="A20" s="160">
        <v>17</v>
      </c>
      <c r="B20" s="161"/>
      <c r="C20" s="204"/>
      <c r="D20" s="202"/>
      <c r="E20" s="220" t="str">
        <f t="shared" si="0"/>
        <v/>
      </c>
      <c r="F20" s="220" t="str">
        <f t="shared" si="1"/>
        <v/>
      </c>
      <c r="G20" s="35">
        <f t="shared" si="2"/>
        <v>0</v>
      </c>
      <c r="H20" s="35">
        <f t="shared" si="3"/>
        <v>0</v>
      </c>
      <c r="I20" s="35">
        <f t="shared" si="4"/>
        <v>0</v>
      </c>
      <c r="J20" s="35">
        <f t="shared" si="5"/>
        <v>0</v>
      </c>
      <c r="K20" s="35">
        <f t="shared" si="6"/>
        <v>0</v>
      </c>
    </row>
    <row r="21" spans="1:11" ht="12.75" customHeight="1" x14ac:dyDescent="0.2">
      <c r="A21" s="160">
        <v>18</v>
      </c>
      <c r="B21" s="161"/>
      <c r="C21" s="204"/>
      <c r="D21" s="202"/>
      <c r="E21" s="220" t="str">
        <f t="shared" si="0"/>
        <v/>
      </c>
      <c r="F21" s="220" t="str">
        <f t="shared" si="1"/>
        <v/>
      </c>
      <c r="G21" s="35">
        <f t="shared" si="2"/>
        <v>0</v>
      </c>
      <c r="H21" s="35">
        <f t="shared" si="3"/>
        <v>0</v>
      </c>
      <c r="I21" s="35">
        <f t="shared" si="4"/>
        <v>0</v>
      </c>
      <c r="J21" s="35">
        <f t="shared" si="5"/>
        <v>0</v>
      </c>
      <c r="K21" s="35">
        <f t="shared" si="6"/>
        <v>0</v>
      </c>
    </row>
    <row r="22" spans="1:11" ht="12.75" customHeight="1" x14ac:dyDescent="0.2">
      <c r="A22" s="160">
        <v>19</v>
      </c>
      <c r="B22" s="161"/>
      <c r="C22" s="204"/>
      <c r="D22" s="202"/>
      <c r="E22" s="220" t="str">
        <f t="shared" si="0"/>
        <v/>
      </c>
      <c r="F22" s="220" t="str">
        <f t="shared" si="1"/>
        <v/>
      </c>
      <c r="G22" s="35">
        <f t="shared" si="2"/>
        <v>0</v>
      </c>
      <c r="H22" s="35">
        <f t="shared" si="3"/>
        <v>0</v>
      </c>
      <c r="I22" s="35">
        <f t="shared" si="4"/>
        <v>0</v>
      </c>
      <c r="J22" s="35">
        <f t="shared" si="5"/>
        <v>0</v>
      </c>
      <c r="K22" s="35">
        <f t="shared" si="6"/>
        <v>0</v>
      </c>
    </row>
    <row r="23" spans="1:11" ht="13.5" customHeight="1" x14ac:dyDescent="0.2">
      <c r="A23" s="222">
        <v>20</v>
      </c>
      <c r="B23" s="223"/>
      <c r="C23" s="224"/>
      <c r="D23" s="225"/>
      <c r="E23" s="220" t="str">
        <f t="shared" si="0"/>
        <v/>
      </c>
      <c r="F23" s="220" t="str">
        <f t="shared" si="1"/>
        <v/>
      </c>
      <c r="G23" s="35">
        <f t="shared" si="2"/>
        <v>0</v>
      </c>
      <c r="H23" s="35">
        <f t="shared" si="3"/>
        <v>0</v>
      </c>
      <c r="I23" s="35">
        <f t="shared" si="4"/>
        <v>0</v>
      </c>
      <c r="J23" s="35">
        <f t="shared" si="5"/>
        <v>0</v>
      </c>
      <c r="K23" s="35">
        <f t="shared" si="6"/>
        <v>0</v>
      </c>
    </row>
    <row r="24" spans="1:11" ht="14.25" customHeight="1" x14ac:dyDescent="0.2">
      <c r="A24" s="226"/>
      <c r="B24" s="227" t="s">
        <v>174</v>
      </c>
      <c r="C24" s="228">
        <f>SUM(C4:C23)</f>
        <v>7000000</v>
      </c>
      <c r="D24" s="229"/>
      <c r="E24" s="230">
        <f t="shared" ref="E24:K24" si="7">SUM(E4:E23)</f>
        <v>700000</v>
      </c>
      <c r="F24" s="230">
        <f t="shared" si="7"/>
        <v>58333.333333333328</v>
      </c>
      <c r="G24" s="221">
        <f t="shared" si="7"/>
        <v>700000</v>
      </c>
      <c r="H24" s="221">
        <f t="shared" si="7"/>
        <v>700000</v>
      </c>
      <c r="I24" s="221">
        <f t="shared" si="7"/>
        <v>700000</v>
      </c>
      <c r="J24" s="221">
        <f t="shared" si="7"/>
        <v>700000</v>
      </c>
      <c r="K24" s="221">
        <f t="shared" si="7"/>
        <v>700000</v>
      </c>
    </row>
    <row r="25" spans="1:11" ht="12.75" customHeight="1" x14ac:dyDescent="0.2">
      <c r="C25" s="231"/>
      <c r="E25" s="231"/>
      <c r="F25" s="231"/>
    </row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&amp;CInversiones Proyectadas</oddHeader>
    <oddFooter>&amp;Rwww.emprenautas.com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workbookViewId="0"/>
  </sheetViews>
  <sheetFormatPr baseColWidth="10" defaultColWidth="12.5703125" defaultRowHeight="15" customHeight="1" x14ac:dyDescent="0.2"/>
  <cols>
    <col min="1" max="1" width="3.85546875" customWidth="1"/>
    <col min="2" max="2" width="10" customWidth="1"/>
    <col min="3" max="3" width="14.85546875" customWidth="1"/>
    <col min="4" max="5" width="10" customWidth="1"/>
    <col min="6" max="6" width="15.28515625" customWidth="1"/>
    <col min="7" max="8" width="10" customWidth="1"/>
    <col min="9" max="9" width="3.85546875" customWidth="1"/>
    <col min="10" max="10" width="1.140625" customWidth="1"/>
    <col min="11" max="26" width="10" customWidth="1"/>
  </cols>
  <sheetData>
    <row r="1" spans="1:26" ht="22.5" customHeight="1" x14ac:dyDescent="0.2">
      <c r="A1" s="232"/>
      <c r="B1" s="232"/>
      <c r="C1" s="232"/>
      <c r="D1" s="232"/>
      <c r="E1" s="232"/>
      <c r="F1" s="232"/>
      <c r="G1" s="232"/>
      <c r="H1" s="232"/>
      <c r="I1" s="233"/>
      <c r="J1" s="233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</row>
    <row r="2" spans="1:26" ht="35.25" customHeight="1" x14ac:dyDescent="0.4">
      <c r="A2" s="341" t="str">
        <f>Productos!G1</f>
        <v>Heladería DANG</v>
      </c>
      <c r="B2" s="342"/>
      <c r="C2" s="342"/>
      <c r="D2" s="342"/>
      <c r="E2" s="342"/>
      <c r="F2" s="342"/>
      <c r="G2" s="342"/>
      <c r="H2" s="342"/>
      <c r="I2" s="343"/>
      <c r="J2" s="234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</row>
    <row r="3" spans="1:26" ht="4.5" customHeight="1" x14ac:dyDescent="0.2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</row>
    <row r="4" spans="1:26" ht="12.75" customHeight="1" x14ac:dyDescent="0.2">
      <c r="B4" s="8" t="s">
        <v>175</v>
      </c>
      <c r="C4" s="235">
        <v>10000000</v>
      </c>
      <c r="D4" s="6" t="s">
        <v>83</v>
      </c>
      <c r="E4" s="6"/>
      <c r="F4" s="236" t="s">
        <v>176</v>
      </c>
      <c r="G4" s="237">
        <v>0.1</v>
      </c>
      <c r="H4" s="6" t="s">
        <v>177</v>
      </c>
    </row>
    <row r="5" spans="1:26" ht="12.75" customHeight="1" x14ac:dyDescent="0.2">
      <c r="B5" s="8" t="s">
        <v>178</v>
      </c>
      <c r="C5" s="238">
        <v>36</v>
      </c>
      <c r="D5" s="6" t="s">
        <v>179</v>
      </c>
      <c r="E5" s="6"/>
      <c r="F5" s="236" t="s">
        <v>180</v>
      </c>
      <c r="G5" s="237">
        <f>+POWER((1+G4),(1/12))-1</f>
        <v>7.9741404289037643E-3</v>
      </c>
      <c r="H5" s="6" t="s">
        <v>181</v>
      </c>
    </row>
    <row r="6" spans="1:26" ht="12.75" customHeight="1" x14ac:dyDescent="0.2">
      <c r="B6" s="8" t="s">
        <v>182</v>
      </c>
      <c r="C6" s="238" t="s">
        <v>183</v>
      </c>
      <c r="D6" s="6"/>
      <c r="E6" s="6"/>
      <c r="F6" s="236" t="s">
        <v>184</v>
      </c>
      <c r="G6" s="6">
        <v>6</v>
      </c>
      <c r="H6" s="6" t="s">
        <v>185</v>
      </c>
    </row>
    <row r="7" spans="1:26" ht="13.5" customHeight="1" x14ac:dyDescent="0.2">
      <c r="B7" s="239"/>
      <c r="C7" s="239"/>
      <c r="D7" s="239"/>
      <c r="E7" s="239"/>
      <c r="F7" s="240"/>
    </row>
    <row r="8" spans="1:26" ht="45.75" customHeight="1" x14ac:dyDescent="0.2">
      <c r="B8" s="241" t="s">
        <v>186</v>
      </c>
      <c r="C8" s="241" t="s">
        <v>187</v>
      </c>
      <c r="D8" s="241" t="s">
        <v>188</v>
      </c>
      <c r="E8" s="241" t="s">
        <v>189</v>
      </c>
      <c r="F8" s="241" t="s">
        <v>190</v>
      </c>
      <c r="G8" s="241" t="s">
        <v>191</v>
      </c>
      <c r="H8" s="241" t="s">
        <v>192</v>
      </c>
    </row>
    <row r="9" spans="1:26" ht="13.5" customHeight="1" x14ac:dyDescent="0.2">
      <c r="B9" s="242" t="s">
        <v>193</v>
      </c>
      <c r="C9" s="243"/>
      <c r="D9" s="243"/>
      <c r="E9" s="243"/>
      <c r="F9" s="244">
        <f>+C4</f>
        <v>10000000</v>
      </c>
      <c r="G9" s="245"/>
      <c r="H9" s="245"/>
    </row>
    <row r="10" spans="1:26" ht="12.75" customHeight="1" x14ac:dyDescent="0.2">
      <c r="B10" s="6">
        <v>1</v>
      </c>
      <c r="C10" s="245">
        <f t="shared" ref="C10:C71" si="0">IF(($G$6-B10)&gt;=0,0,E10-D10)</f>
        <v>0</v>
      </c>
      <c r="D10" s="245">
        <f t="shared" ref="D10:D71" si="1">+$G$5*F9</f>
        <v>79741.404289037644</v>
      </c>
      <c r="E10" s="245">
        <f t="shared" ref="E10:E71" si="2">IF(($C$5-B10)&lt;0,0,IF(($G$6-B10)&gt;=0,D10,$F$9*(1+$G$5)^($C$5-$G$6)*($G$5)/((1+$G$5)^($C$5-$G$6)-1)))</f>
        <v>79741.404289037644</v>
      </c>
      <c r="F10" s="245">
        <f>IF((F9-C10)&lt;&gt;0.001,F9-C10,0)</f>
        <v>10000000</v>
      </c>
      <c r="G10" s="245">
        <v>0</v>
      </c>
      <c r="H10" s="245">
        <f t="shared" ref="H10:H71" si="3">+E10+G10</f>
        <v>79741.404289037644</v>
      </c>
      <c r="K10" s="245"/>
    </row>
    <row r="11" spans="1:26" ht="12.75" customHeight="1" x14ac:dyDescent="0.2">
      <c r="B11" s="6">
        <f t="shared" ref="B11:B71" si="4">1+B10</f>
        <v>2</v>
      </c>
      <c r="C11" s="245">
        <f t="shared" si="0"/>
        <v>0</v>
      </c>
      <c r="D11" s="245">
        <f t="shared" si="1"/>
        <v>79741.404289037644</v>
      </c>
      <c r="E11" s="245">
        <f t="shared" si="2"/>
        <v>79741.404289037644</v>
      </c>
      <c r="F11" s="245">
        <f t="shared" ref="F11:F71" si="5">+F10-C11</f>
        <v>10000000</v>
      </c>
      <c r="G11" s="245">
        <v>0</v>
      </c>
      <c r="H11" s="245">
        <f t="shared" si="3"/>
        <v>79741.404289037644</v>
      </c>
    </row>
    <row r="12" spans="1:26" ht="12.75" customHeight="1" x14ac:dyDescent="0.2">
      <c r="B12" s="6">
        <f t="shared" si="4"/>
        <v>3</v>
      </c>
      <c r="C12" s="245">
        <f t="shared" si="0"/>
        <v>0</v>
      </c>
      <c r="D12" s="245">
        <f t="shared" si="1"/>
        <v>79741.404289037644</v>
      </c>
      <c r="E12" s="245">
        <f t="shared" si="2"/>
        <v>79741.404289037644</v>
      </c>
      <c r="F12" s="245">
        <f t="shared" si="5"/>
        <v>10000000</v>
      </c>
      <c r="G12" s="245">
        <v>0</v>
      </c>
      <c r="H12" s="245">
        <f t="shared" si="3"/>
        <v>79741.404289037644</v>
      </c>
    </row>
    <row r="13" spans="1:26" ht="12.75" customHeight="1" x14ac:dyDescent="0.2">
      <c r="B13" s="6">
        <f t="shared" si="4"/>
        <v>4</v>
      </c>
      <c r="C13" s="245">
        <f t="shared" si="0"/>
        <v>0</v>
      </c>
      <c r="D13" s="245">
        <f t="shared" si="1"/>
        <v>79741.404289037644</v>
      </c>
      <c r="E13" s="245">
        <f t="shared" si="2"/>
        <v>79741.404289037644</v>
      </c>
      <c r="F13" s="245">
        <f t="shared" si="5"/>
        <v>10000000</v>
      </c>
      <c r="G13" s="245">
        <v>0</v>
      </c>
      <c r="H13" s="245">
        <f t="shared" si="3"/>
        <v>79741.404289037644</v>
      </c>
    </row>
    <row r="14" spans="1:26" ht="12.75" customHeight="1" x14ac:dyDescent="0.2">
      <c r="B14" s="6">
        <f t="shared" si="4"/>
        <v>5</v>
      </c>
      <c r="C14" s="245">
        <f t="shared" si="0"/>
        <v>0</v>
      </c>
      <c r="D14" s="245">
        <f t="shared" si="1"/>
        <v>79741.404289037644</v>
      </c>
      <c r="E14" s="245">
        <f t="shared" si="2"/>
        <v>79741.404289037644</v>
      </c>
      <c r="F14" s="245">
        <f t="shared" si="5"/>
        <v>10000000</v>
      </c>
      <c r="G14" s="245">
        <v>0</v>
      </c>
      <c r="H14" s="245">
        <f t="shared" si="3"/>
        <v>79741.404289037644</v>
      </c>
    </row>
    <row r="15" spans="1:26" ht="12.75" customHeight="1" x14ac:dyDescent="0.2">
      <c r="B15" s="6">
        <f t="shared" si="4"/>
        <v>6</v>
      </c>
      <c r="C15" s="245">
        <f t="shared" si="0"/>
        <v>0</v>
      </c>
      <c r="D15" s="245">
        <f t="shared" si="1"/>
        <v>79741.404289037644</v>
      </c>
      <c r="E15" s="245">
        <f t="shared" si="2"/>
        <v>79741.404289037644</v>
      </c>
      <c r="F15" s="245">
        <f t="shared" si="5"/>
        <v>10000000</v>
      </c>
      <c r="G15" s="245">
        <v>0</v>
      </c>
      <c r="H15" s="245">
        <f t="shared" si="3"/>
        <v>79741.404289037644</v>
      </c>
    </row>
    <row r="16" spans="1:26" ht="12.75" customHeight="1" x14ac:dyDescent="0.2">
      <c r="B16" s="6">
        <f t="shared" si="4"/>
        <v>7</v>
      </c>
      <c r="C16" s="245">
        <f t="shared" si="0"/>
        <v>296371.76729865646</v>
      </c>
      <c r="D16" s="245">
        <f t="shared" si="1"/>
        <v>79741.404289037644</v>
      </c>
      <c r="E16" s="245">
        <f t="shared" si="2"/>
        <v>376113.17158769409</v>
      </c>
      <c r="F16" s="245">
        <f t="shared" si="5"/>
        <v>9703628.2327013444</v>
      </c>
      <c r="G16" s="245">
        <v>0</v>
      </c>
      <c r="H16" s="245">
        <f t="shared" si="3"/>
        <v>376113.17158769409</v>
      </c>
    </row>
    <row r="17" spans="2:13" ht="12.75" customHeight="1" x14ac:dyDescent="0.2">
      <c r="B17" s="6">
        <f t="shared" si="4"/>
        <v>8</v>
      </c>
      <c r="C17" s="245">
        <f t="shared" si="0"/>
        <v>298735.07739025832</v>
      </c>
      <c r="D17" s="245">
        <f t="shared" si="1"/>
        <v>77378.09419743577</v>
      </c>
      <c r="E17" s="245">
        <f t="shared" si="2"/>
        <v>376113.17158769409</v>
      </c>
      <c r="F17" s="245">
        <f t="shared" si="5"/>
        <v>9404893.1553110853</v>
      </c>
      <c r="G17" s="245">
        <v>0</v>
      </c>
      <c r="H17" s="245">
        <f t="shared" si="3"/>
        <v>376113.17158769409</v>
      </c>
    </row>
    <row r="18" spans="2:13" ht="12.75" customHeight="1" x14ac:dyDescent="0.2">
      <c r="B18" s="6">
        <f t="shared" si="4"/>
        <v>9</v>
      </c>
      <c r="C18" s="245">
        <f t="shared" si="0"/>
        <v>301117.2328484077</v>
      </c>
      <c r="D18" s="245">
        <f t="shared" si="1"/>
        <v>74995.938739286416</v>
      </c>
      <c r="E18" s="245">
        <f t="shared" si="2"/>
        <v>376113.17158769409</v>
      </c>
      <c r="F18" s="245">
        <f t="shared" si="5"/>
        <v>9103775.9224626776</v>
      </c>
      <c r="G18" s="245">
        <v>0</v>
      </c>
      <c r="H18" s="245">
        <f t="shared" si="3"/>
        <v>376113.17158769409</v>
      </c>
    </row>
    <row r="19" spans="2:13" ht="12.75" customHeight="1" x14ac:dyDescent="0.2">
      <c r="B19" s="6">
        <f t="shared" si="4"/>
        <v>10</v>
      </c>
      <c r="C19" s="245">
        <f t="shared" si="0"/>
        <v>303518.38394870376</v>
      </c>
      <c r="D19" s="245">
        <f t="shared" si="1"/>
        <v>72594.787638990296</v>
      </c>
      <c r="E19" s="245">
        <f t="shared" si="2"/>
        <v>376113.17158769409</v>
      </c>
      <c r="F19" s="245">
        <f t="shared" si="5"/>
        <v>8800257.5385139734</v>
      </c>
      <c r="G19" s="245">
        <v>0</v>
      </c>
      <c r="H19" s="245">
        <f t="shared" si="3"/>
        <v>376113.17158769409</v>
      </c>
      <c r="K19" s="127" t="s">
        <v>194</v>
      </c>
      <c r="L19" s="127" t="s">
        <v>195</v>
      </c>
    </row>
    <row r="20" spans="2:13" ht="12.75" customHeight="1" x14ac:dyDescent="0.2">
      <c r="B20" s="246">
        <f t="shared" si="4"/>
        <v>11</v>
      </c>
      <c r="C20" s="247">
        <f t="shared" si="0"/>
        <v>305938.68216506467</v>
      </c>
      <c r="D20" s="247">
        <f t="shared" si="1"/>
        <v>70174.489422629398</v>
      </c>
      <c r="E20" s="247">
        <f t="shared" si="2"/>
        <v>376113.17158769409</v>
      </c>
      <c r="F20" s="247">
        <f t="shared" si="5"/>
        <v>8494318.8563489094</v>
      </c>
      <c r="G20" s="247">
        <v>0</v>
      </c>
      <c r="H20" s="247">
        <f t="shared" si="3"/>
        <v>376113.17158769409</v>
      </c>
      <c r="K20" s="245">
        <f t="shared" ref="K20:L20" si="6">SUM(D10:D20)</f>
        <v>853333.1400216053</v>
      </c>
      <c r="L20" s="245">
        <f t="shared" si="6"/>
        <v>2359014.283672696</v>
      </c>
      <c r="M20" s="8" t="s">
        <v>196</v>
      </c>
    </row>
    <row r="21" spans="2:13" ht="12.75" customHeight="1" x14ac:dyDescent="0.2">
      <c r="B21" s="6">
        <f t="shared" si="4"/>
        <v>12</v>
      </c>
      <c r="C21" s="245">
        <f t="shared" si="0"/>
        <v>308378.28017928265</v>
      </c>
      <c r="D21" s="245">
        <f t="shared" si="1"/>
        <v>67734.891408411422</v>
      </c>
      <c r="E21" s="245">
        <f t="shared" si="2"/>
        <v>376113.17158769409</v>
      </c>
      <c r="F21" s="245">
        <f t="shared" si="5"/>
        <v>8185940.5761696268</v>
      </c>
      <c r="G21" s="245">
        <v>0</v>
      </c>
      <c r="H21" s="245">
        <f t="shared" si="3"/>
        <v>376113.17158769409</v>
      </c>
    </row>
    <row r="22" spans="2:13" ht="12.75" customHeight="1" x14ac:dyDescent="0.2">
      <c r="B22" s="6">
        <f t="shared" si="4"/>
        <v>13</v>
      </c>
      <c r="C22" s="245">
        <f t="shared" si="0"/>
        <v>310837.33189065609</v>
      </c>
      <c r="D22" s="245">
        <f t="shared" si="1"/>
        <v>65275.839697037998</v>
      </c>
      <c r="E22" s="245">
        <f t="shared" si="2"/>
        <v>376113.17158769409</v>
      </c>
      <c r="F22" s="245">
        <f t="shared" si="5"/>
        <v>7875103.2442789711</v>
      </c>
      <c r="G22" s="245">
        <v>0</v>
      </c>
      <c r="H22" s="245">
        <f t="shared" si="3"/>
        <v>376113.17158769409</v>
      </c>
    </row>
    <row r="23" spans="2:13" ht="12.75" customHeight="1" x14ac:dyDescent="0.2">
      <c r="B23" s="6">
        <f t="shared" si="4"/>
        <v>14</v>
      </c>
      <c r="C23" s="245">
        <f t="shared" si="0"/>
        <v>313315.99242569797</v>
      </c>
      <c r="D23" s="245">
        <f t="shared" si="1"/>
        <v>62797.179161996137</v>
      </c>
      <c r="E23" s="245">
        <f t="shared" si="2"/>
        <v>376113.17158769409</v>
      </c>
      <c r="F23" s="245">
        <f t="shared" si="5"/>
        <v>7561787.2518532733</v>
      </c>
      <c r="G23" s="245">
        <v>0</v>
      </c>
      <c r="H23" s="245">
        <f t="shared" si="3"/>
        <v>376113.17158769409</v>
      </c>
    </row>
    <row r="24" spans="2:13" ht="12.75" customHeight="1" x14ac:dyDescent="0.2">
      <c r="B24" s="6">
        <f t="shared" si="4"/>
        <v>15</v>
      </c>
      <c r="C24" s="245">
        <f t="shared" si="0"/>
        <v>315814.4181479218</v>
      </c>
      <c r="D24" s="245">
        <f t="shared" si="1"/>
        <v>60298.753439772277</v>
      </c>
      <c r="E24" s="245">
        <f t="shared" si="2"/>
        <v>376113.17158769409</v>
      </c>
      <c r="F24" s="245">
        <f t="shared" si="5"/>
        <v>7245972.8337053517</v>
      </c>
      <c r="G24" s="245">
        <v>0</v>
      </c>
      <c r="H24" s="245">
        <f t="shared" si="3"/>
        <v>376113.17158769409</v>
      </c>
    </row>
    <row r="25" spans="2:13" ht="12.75" customHeight="1" x14ac:dyDescent="0.2">
      <c r="B25" s="6">
        <f t="shared" si="4"/>
        <v>16</v>
      </c>
      <c r="C25" s="245">
        <f t="shared" si="0"/>
        <v>318332.76666770584</v>
      </c>
      <c r="D25" s="245">
        <f t="shared" si="1"/>
        <v>57780.404919988214</v>
      </c>
      <c r="E25" s="245">
        <f t="shared" si="2"/>
        <v>376113.17158769409</v>
      </c>
      <c r="F25" s="245">
        <f t="shared" si="5"/>
        <v>6927640.0670376457</v>
      </c>
      <c r="G25" s="245">
        <v>0</v>
      </c>
      <c r="H25" s="245">
        <f t="shared" si="3"/>
        <v>376113.17158769409</v>
      </c>
    </row>
    <row r="26" spans="2:13" ht="12.75" customHeight="1" x14ac:dyDescent="0.2">
      <c r="B26" s="6">
        <f t="shared" si="4"/>
        <v>17</v>
      </c>
      <c r="C26" s="245">
        <f t="shared" si="0"/>
        <v>320871.19685223559</v>
      </c>
      <c r="D26" s="245">
        <f t="shared" si="1"/>
        <v>55241.974735458476</v>
      </c>
      <c r="E26" s="245">
        <f t="shared" si="2"/>
        <v>376113.17158769409</v>
      </c>
      <c r="F26" s="245">
        <f t="shared" si="5"/>
        <v>6606768.8701854106</v>
      </c>
      <c r="G26" s="245">
        <v>0</v>
      </c>
      <c r="H26" s="245">
        <f t="shared" si="3"/>
        <v>376113.17158769409</v>
      </c>
    </row>
    <row r="27" spans="2:13" ht="12.75" customHeight="1" x14ac:dyDescent="0.2">
      <c r="B27" s="6">
        <f t="shared" si="4"/>
        <v>18</v>
      </c>
      <c r="C27" s="245">
        <f t="shared" si="0"/>
        <v>323429.86883552576</v>
      </c>
      <c r="D27" s="245">
        <f t="shared" si="1"/>
        <v>52683.302752168325</v>
      </c>
      <c r="E27" s="245">
        <f t="shared" si="2"/>
        <v>376113.17158769409</v>
      </c>
      <c r="F27" s="245">
        <f t="shared" si="5"/>
        <v>6283339.001349885</v>
      </c>
      <c r="G27" s="245">
        <v>0</v>
      </c>
      <c r="H27" s="245">
        <f t="shared" si="3"/>
        <v>376113.17158769409</v>
      </c>
    </row>
    <row r="28" spans="2:13" ht="12.75" customHeight="1" x14ac:dyDescent="0.2">
      <c r="B28" s="6">
        <f t="shared" si="4"/>
        <v>19</v>
      </c>
      <c r="C28" s="245">
        <f t="shared" si="0"/>
        <v>326008.94402852218</v>
      </c>
      <c r="D28" s="245">
        <f t="shared" si="1"/>
        <v>50104.227559171923</v>
      </c>
      <c r="E28" s="245">
        <f t="shared" si="2"/>
        <v>376113.17158769409</v>
      </c>
      <c r="F28" s="245">
        <f t="shared" si="5"/>
        <v>5957330.0573213631</v>
      </c>
      <c r="G28" s="245">
        <v>0</v>
      </c>
      <c r="H28" s="245">
        <f t="shared" si="3"/>
        <v>376113.17158769409</v>
      </c>
    </row>
    <row r="29" spans="2:13" ht="12.75" customHeight="1" x14ac:dyDescent="0.2">
      <c r="B29" s="6">
        <f t="shared" si="4"/>
        <v>20</v>
      </c>
      <c r="C29" s="245">
        <f t="shared" si="0"/>
        <v>328608.58512928424</v>
      </c>
      <c r="D29" s="245">
        <f t="shared" si="1"/>
        <v>47504.58645840986</v>
      </c>
      <c r="E29" s="245">
        <f t="shared" si="2"/>
        <v>376113.17158769409</v>
      </c>
      <c r="F29" s="245">
        <f t="shared" si="5"/>
        <v>5628721.4721920788</v>
      </c>
      <c r="G29" s="245">
        <v>0</v>
      </c>
      <c r="H29" s="245">
        <f t="shared" si="3"/>
        <v>376113.17158769409</v>
      </c>
    </row>
    <row r="30" spans="2:13" ht="12.75" customHeight="1" x14ac:dyDescent="0.2">
      <c r="B30" s="6">
        <f t="shared" si="4"/>
        <v>21</v>
      </c>
      <c r="C30" s="245">
        <f t="shared" si="0"/>
        <v>331228.95613324852</v>
      </c>
      <c r="D30" s="245">
        <f t="shared" si="1"/>
        <v>44884.21545444557</v>
      </c>
      <c r="E30" s="245">
        <f t="shared" si="2"/>
        <v>376113.17158769409</v>
      </c>
      <c r="F30" s="245">
        <f t="shared" si="5"/>
        <v>5297492.5160588305</v>
      </c>
      <c r="G30" s="245">
        <v>0</v>
      </c>
      <c r="H30" s="245">
        <f t="shared" si="3"/>
        <v>376113.17158769409</v>
      </c>
    </row>
    <row r="31" spans="2:13" ht="12.75" customHeight="1" x14ac:dyDescent="0.2">
      <c r="B31" s="6">
        <f t="shared" si="4"/>
        <v>22</v>
      </c>
      <c r="C31" s="245">
        <f t="shared" si="0"/>
        <v>333870.22234357422</v>
      </c>
      <c r="D31" s="245">
        <f t="shared" si="1"/>
        <v>42242.949244119845</v>
      </c>
      <c r="E31" s="245">
        <f t="shared" si="2"/>
        <v>376113.17158769409</v>
      </c>
      <c r="F31" s="245">
        <f t="shared" si="5"/>
        <v>4963622.2937152563</v>
      </c>
      <c r="G31" s="245">
        <v>0</v>
      </c>
      <c r="H31" s="245">
        <f t="shared" si="3"/>
        <v>376113.17158769409</v>
      </c>
      <c r="K31" s="127" t="s">
        <v>194</v>
      </c>
      <c r="L31" s="127" t="s">
        <v>195</v>
      </c>
    </row>
    <row r="32" spans="2:13" ht="12.75" customHeight="1" x14ac:dyDescent="0.2">
      <c r="B32" s="246">
        <f t="shared" si="4"/>
        <v>23</v>
      </c>
      <c r="C32" s="247">
        <f t="shared" si="0"/>
        <v>336532.55038157123</v>
      </c>
      <c r="D32" s="247">
        <f t="shared" si="1"/>
        <v>39580.621206122858</v>
      </c>
      <c r="E32" s="247">
        <f t="shared" si="2"/>
        <v>376113.17158769409</v>
      </c>
      <c r="F32" s="247">
        <f t="shared" si="5"/>
        <v>4627089.7433336852</v>
      </c>
      <c r="G32" s="247">
        <v>0</v>
      </c>
      <c r="H32" s="247">
        <f t="shared" si="3"/>
        <v>376113.17158769409</v>
      </c>
      <c r="K32" s="245">
        <f t="shared" ref="K32:L32" si="7">SUM(D21:D32)</f>
        <v>646128.94603710272</v>
      </c>
      <c r="L32" s="245">
        <f t="shared" si="7"/>
        <v>4513358.0590523286</v>
      </c>
      <c r="M32" s="8" t="s">
        <v>197</v>
      </c>
    </row>
    <row r="33" spans="2:13" ht="12.75" customHeight="1" x14ac:dyDescent="0.2">
      <c r="B33" s="6">
        <f t="shared" si="4"/>
        <v>24</v>
      </c>
      <c r="C33" s="245">
        <f t="shared" si="0"/>
        <v>339216.108197211</v>
      </c>
      <c r="D33" s="245">
        <f t="shared" si="1"/>
        <v>36897.063390483083</v>
      </c>
      <c r="E33" s="245">
        <f t="shared" si="2"/>
        <v>376113.17158769409</v>
      </c>
      <c r="F33" s="245">
        <f t="shared" si="5"/>
        <v>4287873.6351364739</v>
      </c>
      <c r="G33" s="245">
        <v>0</v>
      </c>
      <c r="H33" s="245">
        <f t="shared" si="3"/>
        <v>376113.17158769409</v>
      </c>
    </row>
    <row r="34" spans="2:13" ht="12.75" customHeight="1" x14ac:dyDescent="0.2">
      <c r="B34" s="6">
        <f t="shared" si="4"/>
        <v>25</v>
      </c>
      <c r="C34" s="245">
        <f t="shared" si="0"/>
        <v>341921.0650797218</v>
      </c>
      <c r="D34" s="245">
        <f t="shared" si="1"/>
        <v>34192.106507972305</v>
      </c>
      <c r="E34" s="245">
        <f t="shared" si="2"/>
        <v>376113.17158769409</v>
      </c>
      <c r="F34" s="245">
        <f t="shared" si="5"/>
        <v>3945952.5700567523</v>
      </c>
      <c r="G34" s="245">
        <v>0</v>
      </c>
      <c r="H34" s="245">
        <f t="shared" si="3"/>
        <v>376113.17158769409</v>
      </c>
    </row>
    <row r="35" spans="2:13" ht="12.75" customHeight="1" x14ac:dyDescent="0.2">
      <c r="B35" s="6">
        <f t="shared" si="4"/>
        <v>26</v>
      </c>
      <c r="C35" s="245">
        <f t="shared" si="0"/>
        <v>344647.59166826785</v>
      </c>
      <c r="D35" s="245">
        <f t="shared" si="1"/>
        <v>31465.579919426262</v>
      </c>
      <c r="E35" s="245">
        <f t="shared" si="2"/>
        <v>376113.17158769409</v>
      </c>
      <c r="F35" s="245">
        <f t="shared" si="5"/>
        <v>3601304.9783884846</v>
      </c>
      <c r="G35" s="245">
        <v>0</v>
      </c>
      <c r="H35" s="245">
        <f t="shared" si="3"/>
        <v>376113.17158769409</v>
      </c>
    </row>
    <row r="36" spans="2:13" ht="12.75" customHeight="1" x14ac:dyDescent="0.2">
      <c r="B36" s="6">
        <f t="shared" si="4"/>
        <v>27</v>
      </c>
      <c r="C36" s="245">
        <f t="shared" si="0"/>
        <v>347395.85996271408</v>
      </c>
      <c r="D36" s="245">
        <f t="shared" si="1"/>
        <v>28717.311624980011</v>
      </c>
      <c r="E36" s="245">
        <f t="shared" si="2"/>
        <v>376113.17158769409</v>
      </c>
      <c r="F36" s="245">
        <f t="shared" si="5"/>
        <v>3253909.1184257707</v>
      </c>
      <c r="G36" s="245">
        <v>0</v>
      </c>
      <c r="H36" s="245">
        <f t="shared" si="3"/>
        <v>376113.17158769409</v>
      </c>
    </row>
    <row r="37" spans="2:13" ht="12.75" customHeight="1" x14ac:dyDescent="0.2">
      <c r="B37" s="6">
        <f t="shared" si="4"/>
        <v>28</v>
      </c>
      <c r="C37" s="245">
        <f t="shared" si="0"/>
        <v>350166.04333447653</v>
      </c>
      <c r="D37" s="245">
        <f t="shared" si="1"/>
        <v>25947.128253217543</v>
      </c>
      <c r="E37" s="245">
        <f t="shared" si="2"/>
        <v>376113.17158769409</v>
      </c>
      <c r="F37" s="245">
        <f t="shared" si="5"/>
        <v>2903743.075091294</v>
      </c>
      <c r="G37" s="245">
        <v>0</v>
      </c>
      <c r="H37" s="245">
        <f t="shared" si="3"/>
        <v>376113.17158769409</v>
      </c>
    </row>
    <row r="38" spans="2:13" ht="12.75" customHeight="1" x14ac:dyDescent="0.2">
      <c r="B38" s="6">
        <f t="shared" si="4"/>
        <v>29</v>
      </c>
      <c r="C38" s="245">
        <f t="shared" si="0"/>
        <v>352958.31653745926</v>
      </c>
      <c r="D38" s="245">
        <f t="shared" si="1"/>
        <v>23154.855050234826</v>
      </c>
      <c r="E38" s="245">
        <f t="shared" si="2"/>
        <v>376113.17158769409</v>
      </c>
      <c r="F38" s="245">
        <f t="shared" si="5"/>
        <v>2550784.7585538346</v>
      </c>
      <c r="G38" s="245">
        <v>0</v>
      </c>
      <c r="H38" s="245">
        <f t="shared" si="3"/>
        <v>376113.17158769409</v>
      </c>
    </row>
    <row r="39" spans="2:13" ht="12.75" customHeight="1" x14ac:dyDescent="0.2">
      <c r="B39" s="6">
        <f t="shared" si="4"/>
        <v>30</v>
      </c>
      <c r="C39" s="245">
        <f t="shared" si="0"/>
        <v>355772.85571907845</v>
      </c>
      <c r="D39" s="245">
        <f t="shared" si="1"/>
        <v>20340.31586861566</v>
      </c>
      <c r="E39" s="245">
        <f t="shared" si="2"/>
        <v>376113.17158769409</v>
      </c>
      <c r="F39" s="245">
        <f t="shared" si="5"/>
        <v>2195011.9028347563</v>
      </c>
      <c r="G39" s="245">
        <v>0</v>
      </c>
      <c r="H39" s="245">
        <f t="shared" si="3"/>
        <v>376113.17158769409</v>
      </c>
    </row>
    <row r="40" spans="2:13" ht="12.75" customHeight="1" x14ac:dyDescent="0.2">
      <c r="B40" s="6">
        <f t="shared" si="4"/>
        <v>31</v>
      </c>
      <c r="C40" s="245">
        <f t="shared" si="0"/>
        <v>358609.83843137446</v>
      </c>
      <c r="D40" s="245">
        <f t="shared" si="1"/>
        <v>17503.333156319612</v>
      </c>
      <c r="E40" s="245">
        <f t="shared" si="2"/>
        <v>376113.17158769409</v>
      </c>
      <c r="F40" s="245">
        <f t="shared" si="5"/>
        <v>1836402.0644033819</v>
      </c>
      <c r="G40" s="245">
        <v>0</v>
      </c>
      <c r="H40" s="245">
        <f t="shared" si="3"/>
        <v>376113.17158769409</v>
      </c>
    </row>
    <row r="41" spans="2:13" ht="12.75" customHeight="1" x14ac:dyDescent="0.2">
      <c r="B41" s="6">
        <f t="shared" si="4"/>
        <v>32</v>
      </c>
      <c r="C41" s="245">
        <f t="shared" si="0"/>
        <v>361469.44364221272</v>
      </c>
      <c r="D41" s="245">
        <f t="shared" si="1"/>
        <v>14643.727945481342</v>
      </c>
      <c r="E41" s="245">
        <f t="shared" si="2"/>
        <v>376113.17158769409</v>
      </c>
      <c r="F41" s="245">
        <f t="shared" si="5"/>
        <v>1474932.6207611691</v>
      </c>
      <c r="G41" s="245">
        <v>0</v>
      </c>
      <c r="H41" s="245">
        <f t="shared" si="3"/>
        <v>376113.17158769409</v>
      </c>
    </row>
    <row r="42" spans="2:13" ht="12.75" customHeight="1" x14ac:dyDescent="0.2">
      <c r="B42" s="6">
        <f t="shared" si="4"/>
        <v>33</v>
      </c>
      <c r="C42" s="245">
        <f t="shared" si="0"/>
        <v>364351.85174657346</v>
      </c>
      <c r="D42" s="245">
        <f t="shared" si="1"/>
        <v>11761.319841120623</v>
      </c>
      <c r="E42" s="245">
        <f t="shared" si="2"/>
        <v>376113.17158769409</v>
      </c>
      <c r="F42" s="245">
        <f t="shared" si="5"/>
        <v>1110580.7690145955</v>
      </c>
      <c r="G42" s="245">
        <v>0</v>
      </c>
      <c r="H42" s="245">
        <f t="shared" si="3"/>
        <v>376113.17158769409</v>
      </c>
    </row>
    <row r="43" spans="2:13" ht="12.75" customHeight="1" x14ac:dyDescent="0.2">
      <c r="B43" s="6">
        <f t="shared" si="4"/>
        <v>34</v>
      </c>
      <c r="C43" s="245">
        <f t="shared" si="0"/>
        <v>367257.24457793176</v>
      </c>
      <c r="D43" s="245">
        <f t="shared" si="1"/>
        <v>8855.9270097623194</v>
      </c>
      <c r="E43" s="245">
        <f t="shared" si="2"/>
        <v>376113.17158769409</v>
      </c>
      <c r="F43" s="245">
        <f t="shared" si="5"/>
        <v>743323.52443666384</v>
      </c>
      <c r="G43" s="245">
        <v>0</v>
      </c>
      <c r="H43" s="245">
        <f t="shared" si="3"/>
        <v>376113.17158769409</v>
      </c>
      <c r="K43" s="127" t="s">
        <v>194</v>
      </c>
      <c r="L43" s="127" t="s">
        <v>195</v>
      </c>
    </row>
    <row r="44" spans="2:13" ht="12.75" customHeight="1" x14ac:dyDescent="0.2">
      <c r="B44" s="246">
        <f t="shared" si="4"/>
        <v>35</v>
      </c>
      <c r="C44" s="247">
        <f t="shared" si="0"/>
        <v>370185.80541972845</v>
      </c>
      <c r="D44" s="247">
        <f t="shared" si="1"/>
        <v>5927.3661679656361</v>
      </c>
      <c r="E44" s="247">
        <f t="shared" si="2"/>
        <v>376113.17158769409</v>
      </c>
      <c r="F44" s="247">
        <f t="shared" si="5"/>
        <v>373137.71901693539</v>
      </c>
      <c r="G44" s="247">
        <v>0</v>
      </c>
      <c r="H44" s="247">
        <f t="shared" si="3"/>
        <v>376113.17158769409</v>
      </c>
      <c r="K44" s="245">
        <f t="shared" ref="K44:L44" si="8">SUM(D33:D44)</f>
        <v>259406.03473557925</v>
      </c>
      <c r="L44" s="245">
        <f t="shared" si="8"/>
        <v>4513358.0590523286</v>
      </c>
      <c r="M44" s="8" t="s">
        <v>198</v>
      </c>
    </row>
    <row r="45" spans="2:13" ht="12.75" customHeight="1" x14ac:dyDescent="0.2">
      <c r="B45" s="6">
        <f t="shared" si="4"/>
        <v>36</v>
      </c>
      <c r="C45" s="245">
        <f t="shared" si="0"/>
        <v>373137.71901693218</v>
      </c>
      <c r="D45" s="245">
        <f t="shared" si="1"/>
        <v>2975.4525707618773</v>
      </c>
      <c r="E45" s="245">
        <f t="shared" si="2"/>
        <v>376113.17158769409</v>
      </c>
      <c r="F45" s="245">
        <f t="shared" si="5"/>
        <v>3.2014213502407074E-9</v>
      </c>
      <c r="G45" s="245">
        <v>0</v>
      </c>
      <c r="H45" s="245">
        <f t="shared" si="3"/>
        <v>376113.17158769409</v>
      </c>
    </row>
    <row r="46" spans="2:13" ht="12.75" customHeight="1" x14ac:dyDescent="0.2">
      <c r="B46" s="6">
        <f t="shared" si="4"/>
        <v>37</v>
      </c>
      <c r="C46" s="245">
        <f t="shared" si="0"/>
        <v>-2.5528583418910103E-11</v>
      </c>
      <c r="D46" s="245">
        <f t="shared" si="1"/>
        <v>2.5528583418910103E-11</v>
      </c>
      <c r="E46" s="245">
        <f t="shared" si="2"/>
        <v>0</v>
      </c>
      <c r="F46" s="245">
        <f t="shared" si="5"/>
        <v>3.2269499336596176E-9</v>
      </c>
      <c r="G46" s="245">
        <v>0</v>
      </c>
      <c r="H46" s="245">
        <f t="shared" si="3"/>
        <v>0</v>
      </c>
    </row>
    <row r="47" spans="2:13" ht="12.75" customHeight="1" x14ac:dyDescent="0.2">
      <c r="B47" s="6">
        <f t="shared" si="4"/>
        <v>38</v>
      </c>
      <c r="C47" s="245">
        <f t="shared" si="0"/>
        <v>-2.5732151928043477E-11</v>
      </c>
      <c r="D47" s="245">
        <f t="shared" si="1"/>
        <v>2.5732151928043477E-11</v>
      </c>
      <c r="E47" s="245">
        <f t="shared" si="2"/>
        <v>0</v>
      </c>
      <c r="F47" s="245">
        <f t="shared" si="5"/>
        <v>3.252682085587661E-9</v>
      </c>
      <c r="G47" s="245">
        <v>0</v>
      </c>
      <c r="H47" s="245">
        <f t="shared" si="3"/>
        <v>0</v>
      </c>
    </row>
    <row r="48" spans="2:13" ht="12.75" customHeight="1" x14ac:dyDescent="0.2">
      <c r="B48" s="6">
        <f t="shared" si="4"/>
        <v>39</v>
      </c>
      <c r="C48" s="245">
        <f t="shared" si="0"/>
        <v>-2.5937343721055583E-11</v>
      </c>
      <c r="D48" s="245">
        <f t="shared" si="1"/>
        <v>2.5937343721055583E-11</v>
      </c>
      <c r="E48" s="245">
        <f t="shared" si="2"/>
        <v>0</v>
      </c>
      <c r="F48" s="245">
        <f t="shared" si="5"/>
        <v>3.2786194293087166E-9</v>
      </c>
      <c r="G48" s="245">
        <v>0</v>
      </c>
      <c r="H48" s="245">
        <f t="shared" si="3"/>
        <v>0</v>
      </c>
    </row>
    <row r="49" spans="2:13" ht="12.75" customHeight="1" x14ac:dyDescent="0.2">
      <c r="B49" s="6">
        <f t="shared" si="4"/>
        <v>40</v>
      </c>
      <c r="C49" s="245">
        <f t="shared" si="0"/>
        <v>-2.6144171742240024E-11</v>
      </c>
      <c r="D49" s="245">
        <f t="shared" si="1"/>
        <v>2.6144171742240024E-11</v>
      </c>
      <c r="E49" s="245">
        <f t="shared" si="2"/>
        <v>0</v>
      </c>
      <c r="F49" s="245">
        <f t="shared" si="5"/>
        <v>3.3047636010509565E-9</v>
      </c>
      <c r="G49" s="245">
        <v>0</v>
      </c>
      <c r="H49" s="245">
        <f t="shared" si="3"/>
        <v>0</v>
      </c>
    </row>
    <row r="50" spans="2:13" ht="12.75" customHeight="1" x14ac:dyDescent="0.2">
      <c r="B50" s="6">
        <f t="shared" si="4"/>
        <v>41</v>
      </c>
      <c r="C50" s="245">
        <f t="shared" si="0"/>
        <v>-2.6352649039110022E-11</v>
      </c>
      <c r="D50" s="245">
        <f t="shared" si="1"/>
        <v>2.6352649039110022E-11</v>
      </c>
      <c r="E50" s="245">
        <f t="shared" si="2"/>
        <v>0</v>
      </c>
      <c r="F50" s="245">
        <f t="shared" si="5"/>
        <v>3.3311162500900667E-9</v>
      </c>
      <c r="G50" s="245">
        <v>0</v>
      </c>
      <c r="H50" s="245">
        <f t="shared" si="3"/>
        <v>0</v>
      </c>
    </row>
    <row r="51" spans="2:13" ht="12.75" customHeight="1" x14ac:dyDescent="0.2">
      <c r="B51" s="6">
        <f t="shared" si="4"/>
        <v>42</v>
      </c>
      <c r="C51" s="245">
        <f t="shared" si="0"/>
        <v>-2.6562788763221505E-11</v>
      </c>
      <c r="D51" s="245">
        <f t="shared" si="1"/>
        <v>2.6562788763221505E-11</v>
      </c>
      <c r="E51" s="245">
        <f t="shared" si="2"/>
        <v>0</v>
      </c>
      <c r="F51" s="245">
        <f t="shared" si="5"/>
        <v>3.3576790388532884E-9</v>
      </c>
      <c r="G51" s="245">
        <v>0</v>
      </c>
      <c r="H51" s="245">
        <f t="shared" si="3"/>
        <v>0</v>
      </c>
    </row>
    <row r="52" spans="2:13" ht="12.75" customHeight="1" x14ac:dyDescent="0.2">
      <c r="B52" s="6">
        <f t="shared" si="4"/>
        <v>43</v>
      </c>
      <c r="C52" s="245">
        <f t="shared" si="0"/>
        <v>-2.6774604171002741E-11</v>
      </c>
      <c r="D52" s="245">
        <f t="shared" si="1"/>
        <v>2.6774604171002741E-11</v>
      </c>
      <c r="E52" s="245">
        <f t="shared" si="2"/>
        <v>0</v>
      </c>
      <c r="F52" s="245">
        <f t="shared" si="5"/>
        <v>3.3844536430242913E-9</v>
      </c>
      <c r="G52" s="245">
        <v>0</v>
      </c>
      <c r="H52" s="245">
        <f t="shared" si="3"/>
        <v>0</v>
      </c>
    </row>
    <row r="53" spans="2:13" ht="12.75" customHeight="1" x14ac:dyDescent="0.2">
      <c r="B53" s="6">
        <f t="shared" si="4"/>
        <v>44</v>
      </c>
      <c r="C53" s="245">
        <f t="shared" si="0"/>
        <v>-2.6988108624590631E-11</v>
      </c>
      <c r="D53" s="245">
        <f t="shared" si="1"/>
        <v>2.6988108624590631E-11</v>
      </c>
      <c r="E53" s="245">
        <f t="shared" si="2"/>
        <v>0</v>
      </c>
      <c r="F53" s="245">
        <f t="shared" si="5"/>
        <v>3.4114417516488821E-9</v>
      </c>
      <c r="G53" s="245">
        <v>0</v>
      </c>
      <c r="H53" s="245">
        <f t="shared" si="3"/>
        <v>0</v>
      </c>
    </row>
    <row r="54" spans="2:13" ht="12.75" customHeight="1" x14ac:dyDescent="0.2">
      <c r="B54" s="6">
        <f t="shared" si="4"/>
        <v>45</v>
      </c>
      <c r="C54" s="245">
        <f t="shared" si="0"/>
        <v>-2.7203315592673624E-11</v>
      </c>
      <c r="D54" s="245">
        <f t="shared" si="1"/>
        <v>2.7203315592673624E-11</v>
      </c>
      <c r="E54" s="245">
        <f t="shared" si="2"/>
        <v>0</v>
      </c>
      <c r="F54" s="245">
        <f t="shared" si="5"/>
        <v>3.4386450672415558E-9</v>
      </c>
      <c r="G54" s="245">
        <v>0</v>
      </c>
      <c r="H54" s="245">
        <f t="shared" si="3"/>
        <v>0</v>
      </c>
    </row>
    <row r="55" spans="2:13" ht="12.75" customHeight="1" x14ac:dyDescent="0.2">
      <c r="B55" s="6">
        <f t="shared" si="4"/>
        <v>46</v>
      </c>
      <c r="C55" s="245">
        <f t="shared" si="0"/>
        <v>-2.7420238651341394E-11</v>
      </c>
      <c r="D55" s="245">
        <f t="shared" si="1"/>
        <v>2.7420238651341394E-11</v>
      </c>
      <c r="E55" s="245">
        <f t="shared" si="2"/>
        <v>0</v>
      </c>
      <c r="F55" s="245">
        <f t="shared" si="5"/>
        <v>3.4660653058928971E-9</v>
      </c>
      <c r="G55" s="245">
        <v>0</v>
      </c>
      <c r="H55" s="245">
        <f t="shared" si="3"/>
        <v>0</v>
      </c>
      <c r="K55" s="127" t="s">
        <v>194</v>
      </c>
      <c r="L55" s="127" t="s">
        <v>195</v>
      </c>
    </row>
    <row r="56" spans="2:13" ht="12.75" customHeight="1" x14ac:dyDescent="0.2">
      <c r="B56" s="246">
        <f t="shared" si="4"/>
        <v>47</v>
      </c>
      <c r="C56" s="247">
        <f t="shared" si="0"/>
        <v>-2.7638891484941242E-11</v>
      </c>
      <c r="D56" s="247">
        <f t="shared" si="1"/>
        <v>2.7638891484941242E-11</v>
      </c>
      <c r="E56" s="247">
        <f t="shared" si="2"/>
        <v>0</v>
      </c>
      <c r="F56" s="247">
        <f t="shared" si="5"/>
        <v>3.4937041973778384E-9</v>
      </c>
      <c r="G56" s="247">
        <v>0</v>
      </c>
      <c r="H56" s="247">
        <f t="shared" si="3"/>
        <v>0</v>
      </c>
      <c r="K56" s="245">
        <f t="shared" ref="K56:L56" si="9">SUM(D45:D56)</f>
        <v>2975.4525707621692</v>
      </c>
      <c r="L56" s="245">
        <f t="shared" si="9"/>
        <v>376113.17158769409</v>
      </c>
      <c r="M56" s="8" t="s">
        <v>199</v>
      </c>
    </row>
    <row r="57" spans="2:13" ht="12.75" customHeight="1" x14ac:dyDescent="0.2">
      <c r="B57" s="6">
        <f t="shared" si="4"/>
        <v>48</v>
      </c>
      <c r="C57" s="245">
        <f t="shared" si="0"/>
        <v>-2.7859287886941397E-11</v>
      </c>
      <c r="D57" s="245">
        <f t="shared" si="1"/>
        <v>2.7859287886941397E-11</v>
      </c>
      <c r="E57" s="245">
        <f t="shared" si="2"/>
        <v>0</v>
      </c>
      <c r="F57" s="245">
        <f t="shared" si="5"/>
        <v>3.5215634852647798E-9</v>
      </c>
      <c r="G57" s="245">
        <v>0</v>
      </c>
      <c r="H57" s="245">
        <f t="shared" si="3"/>
        <v>0</v>
      </c>
    </row>
    <row r="58" spans="2:13" ht="12.75" customHeight="1" x14ac:dyDescent="0.2">
      <c r="B58" s="6">
        <f t="shared" si="4"/>
        <v>49</v>
      </c>
      <c r="C58" s="245">
        <f t="shared" si="0"/>
        <v>-2.8081441760801126E-11</v>
      </c>
      <c r="D58" s="245">
        <f t="shared" si="1"/>
        <v>2.8081441760801126E-11</v>
      </c>
      <c r="E58" s="245">
        <f t="shared" si="2"/>
        <v>0</v>
      </c>
      <c r="F58" s="245">
        <f t="shared" si="5"/>
        <v>3.5496449270255809E-9</v>
      </c>
      <c r="G58" s="245">
        <v>0</v>
      </c>
      <c r="H58" s="245">
        <f t="shared" si="3"/>
        <v>0</v>
      </c>
    </row>
    <row r="59" spans="2:13" ht="12.75" customHeight="1" x14ac:dyDescent="0.2">
      <c r="B59" s="6">
        <f t="shared" si="4"/>
        <v>50</v>
      </c>
      <c r="C59" s="245">
        <f t="shared" si="0"/>
        <v>-2.8305367120847838E-11</v>
      </c>
      <c r="D59" s="245">
        <f t="shared" si="1"/>
        <v>2.8305367120847838E-11</v>
      </c>
      <c r="E59" s="245">
        <f t="shared" si="2"/>
        <v>0</v>
      </c>
      <c r="F59" s="245">
        <f t="shared" si="5"/>
        <v>3.5779502941464288E-9</v>
      </c>
      <c r="G59" s="245">
        <v>0</v>
      </c>
      <c r="H59" s="245">
        <f t="shared" si="3"/>
        <v>0</v>
      </c>
    </row>
    <row r="60" spans="2:13" ht="12.75" customHeight="1" x14ac:dyDescent="0.2">
      <c r="B60" s="6">
        <f t="shared" si="4"/>
        <v>51</v>
      </c>
      <c r="C60" s="245">
        <f t="shared" si="0"/>
        <v>-2.8531078093161154E-11</v>
      </c>
      <c r="D60" s="245">
        <f t="shared" si="1"/>
        <v>2.8531078093161154E-11</v>
      </c>
      <c r="E60" s="245">
        <f t="shared" si="2"/>
        <v>0</v>
      </c>
      <c r="F60" s="245">
        <f t="shared" si="5"/>
        <v>3.6064813722395901E-9</v>
      </c>
      <c r="G60" s="245">
        <v>0</v>
      </c>
      <c r="H60" s="245">
        <f t="shared" si="3"/>
        <v>0</v>
      </c>
    </row>
    <row r="61" spans="2:13" ht="12.75" customHeight="1" x14ac:dyDescent="0.2">
      <c r="B61" s="6">
        <f t="shared" si="4"/>
        <v>52</v>
      </c>
      <c r="C61" s="245">
        <f t="shared" si="0"/>
        <v>-2.875858891646404E-11</v>
      </c>
      <c r="D61" s="245">
        <f t="shared" si="1"/>
        <v>2.875858891646404E-11</v>
      </c>
      <c r="E61" s="245">
        <f t="shared" si="2"/>
        <v>0</v>
      </c>
      <c r="F61" s="245">
        <f t="shared" si="5"/>
        <v>3.6352399611560542E-9</v>
      </c>
      <c r="G61" s="245">
        <v>0</v>
      </c>
      <c r="H61" s="245">
        <f t="shared" si="3"/>
        <v>0</v>
      </c>
    </row>
    <row r="62" spans="2:13" ht="12.75" customHeight="1" x14ac:dyDescent="0.2">
      <c r="B62" s="6">
        <f t="shared" si="4"/>
        <v>53</v>
      </c>
      <c r="C62" s="245">
        <f t="shared" si="0"/>
        <v>-2.8987913943021043E-11</v>
      </c>
      <c r="D62" s="245">
        <f t="shared" si="1"/>
        <v>2.8987913943021043E-11</v>
      </c>
      <c r="E62" s="245">
        <f t="shared" si="2"/>
        <v>0</v>
      </c>
      <c r="F62" s="245">
        <f t="shared" si="5"/>
        <v>3.6642278750990752E-9</v>
      </c>
      <c r="G62" s="245">
        <v>0</v>
      </c>
      <c r="H62" s="245">
        <f t="shared" si="3"/>
        <v>0</v>
      </c>
    </row>
    <row r="63" spans="2:13" ht="12.75" customHeight="1" x14ac:dyDescent="0.2">
      <c r="B63" s="6">
        <f t="shared" si="4"/>
        <v>54</v>
      </c>
      <c r="C63" s="245">
        <f t="shared" si="0"/>
        <v>-2.9219067639543668E-11</v>
      </c>
      <c r="D63" s="245">
        <f t="shared" si="1"/>
        <v>2.9219067639543668E-11</v>
      </c>
      <c r="E63" s="245">
        <f t="shared" si="2"/>
        <v>0</v>
      </c>
      <c r="F63" s="245">
        <f t="shared" si="5"/>
        <v>3.6934469427386187E-9</v>
      </c>
      <c r="G63" s="245">
        <v>0</v>
      </c>
      <c r="H63" s="245">
        <f t="shared" si="3"/>
        <v>0</v>
      </c>
    </row>
    <row r="64" spans="2:13" ht="12.75" customHeight="1" x14ac:dyDescent="0.2">
      <c r="B64" s="6">
        <f t="shared" si="4"/>
        <v>55</v>
      </c>
      <c r="C64" s="245">
        <f t="shared" si="0"/>
        <v>-2.9452064588103025E-11</v>
      </c>
      <c r="D64" s="245">
        <f t="shared" si="1"/>
        <v>2.9452064588103025E-11</v>
      </c>
      <c r="E64" s="245">
        <f t="shared" si="2"/>
        <v>0</v>
      </c>
      <c r="F64" s="245">
        <f t="shared" si="5"/>
        <v>3.7228990073267218E-9</v>
      </c>
      <c r="G64" s="245">
        <v>0</v>
      </c>
      <c r="H64" s="245">
        <f t="shared" si="3"/>
        <v>0</v>
      </c>
    </row>
    <row r="65" spans="2:13" ht="12.75" customHeight="1" x14ac:dyDescent="0.2">
      <c r="B65" s="6">
        <f t="shared" si="4"/>
        <v>56</v>
      </c>
      <c r="C65" s="245">
        <f t="shared" si="0"/>
        <v>-2.9686919487049704E-11</v>
      </c>
      <c r="D65" s="245">
        <f t="shared" si="1"/>
        <v>2.9686919487049704E-11</v>
      </c>
      <c r="E65" s="245">
        <f t="shared" si="2"/>
        <v>0</v>
      </c>
      <c r="F65" s="245">
        <f t="shared" si="5"/>
        <v>3.7525859268137719E-9</v>
      </c>
      <c r="G65" s="245">
        <v>0</v>
      </c>
      <c r="H65" s="245">
        <f t="shared" si="3"/>
        <v>0</v>
      </c>
    </row>
    <row r="66" spans="2:13" ht="12.75" customHeight="1" x14ac:dyDescent="0.2">
      <c r="B66" s="6">
        <f t="shared" si="4"/>
        <v>57</v>
      </c>
      <c r="C66" s="245">
        <f t="shared" si="0"/>
        <v>-2.9923647151940997E-11</v>
      </c>
      <c r="D66" s="245">
        <f t="shared" si="1"/>
        <v>2.9923647151940997E-11</v>
      </c>
      <c r="E66" s="245">
        <f t="shared" si="2"/>
        <v>0</v>
      </c>
      <c r="F66" s="245">
        <f t="shared" si="5"/>
        <v>3.7825095739657127E-9</v>
      </c>
      <c r="G66" s="245">
        <v>0</v>
      </c>
      <c r="H66" s="245">
        <f t="shared" si="3"/>
        <v>0</v>
      </c>
    </row>
    <row r="67" spans="2:13" ht="12.75" customHeight="1" x14ac:dyDescent="0.2">
      <c r="B67" s="6">
        <f t="shared" si="4"/>
        <v>58</v>
      </c>
      <c r="C67" s="245">
        <f t="shared" si="0"/>
        <v>-3.0162262516475544E-11</v>
      </c>
      <c r="D67" s="245">
        <f t="shared" si="1"/>
        <v>3.0162262516475544E-11</v>
      </c>
      <c r="E67" s="245">
        <f t="shared" si="2"/>
        <v>0</v>
      </c>
      <c r="F67" s="245">
        <f t="shared" si="5"/>
        <v>3.8126718364821884E-9</v>
      </c>
      <c r="G67" s="245">
        <v>0</v>
      </c>
      <c r="H67" s="245">
        <f t="shared" si="3"/>
        <v>0</v>
      </c>
      <c r="K67" s="127" t="s">
        <v>194</v>
      </c>
      <c r="L67" s="127" t="s">
        <v>195</v>
      </c>
    </row>
    <row r="68" spans="2:13" ht="12.75" customHeight="1" x14ac:dyDescent="0.2">
      <c r="B68" s="246">
        <f t="shared" si="4"/>
        <v>59</v>
      </c>
      <c r="C68" s="247">
        <f t="shared" si="0"/>
        <v>-3.0402780633435379E-11</v>
      </c>
      <c r="D68" s="247">
        <f t="shared" si="1"/>
        <v>3.0402780633435379E-11</v>
      </c>
      <c r="E68" s="247">
        <f t="shared" si="2"/>
        <v>0</v>
      </c>
      <c r="F68" s="247">
        <f t="shared" si="5"/>
        <v>3.843074617115624E-9</v>
      </c>
      <c r="G68" s="247">
        <v>0</v>
      </c>
      <c r="H68" s="247">
        <f t="shared" si="3"/>
        <v>0</v>
      </c>
      <c r="K68" s="245">
        <f t="shared" ref="K68:L68" si="10">SUM(D57:D68)</f>
        <v>3.4937041973778495E-10</v>
      </c>
      <c r="L68" s="245">
        <f t="shared" si="10"/>
        <v>0</v>
      </c>
      <c r="M68" s="8" t="s">
        <v>200</v>
      </c>
    </row>
    <row r="69" spans="2:13" ht="12.75" customHeight="1" x14ac:dyDescent="0.2">
      <c r="B69" s="6">
        <f t="shared" si="4"/>
        <v>60</v>
      </c>
      <c r="C69" s="245">
        <f t="shared" si="0"/>
        <v>-3.064521667563555E-11</v>
      </c>
      <c r="D69" s="245">
        <f t="shared" si="1"/>
        <v>3.064521667563555E-11</v>
      </c>
      <c r="E69" s="245">
        <f t="shared" si="2"/>
        <v>0</v>
      </c>
      <c r="F69" s="245">
        <f t="shared" si="5"/>
        <v>3.8737198337912599E-9</v>
      </c>
      <c r="G69" s="245">
        <v>0</v>
      </c>
      <c r="H69" s="245">
        <f t="shared" si="3"/>
        <v>0</v>
      </c>
    </row>
    <row r="70" spans="2:13" ht="12.75" customHeight="1" x14ac:dyDescent="0.2">
      <c r="B70" s="6">
        <f t="shared" si="4"/>
        <v>61</v>
      </c>
      <c r="C70" s="245">
        <f t="shared" si="0"/>
        <v>-3.0889585936881256E-11</v>
      </c>
      <c r="D70" s="245">
        <f t="shared" si="1"/>
        <v>3.0889585936881256E-11</v>
      </c>
      <c r="E70" s="245">
        <f t="shared" si="2"/>
        <v>0</v>
      </c>
      <c r="F70" s="245">
        <f t="shared" si="5"/>
        <v>3.9046094197281414E-9</v>
      </c>
      <c r="G70" s="245">
        <v>0</v>
      </c>
      <c r="H70" s="245">
        <f t="shared" si="3"/>
        <v>0</v>
      </c>
    </row>
    <row r="71" spans="2:13" ht="12.75" customHeight="1" x14ac:dyDescent="0.2">
      <c r="B71" s="6">
        <f t="shared" si="4"/>
        <v>62</v>
      </c>
      <c r="C71" s="245">
        <f t="shared" si="0"/>
        <v>-3.1135903832932641E-11</v>
      </c>
      <c r="D71" s="245">
        <f t="shared" si="1"/>
        <v>3.1135903832932641E-11</v>
      </c>
      <c r="E71" s="245">
        <f t="shared" si="2"/>
        <v>0</v>
      </c>
      <c r="F71" s="245">
        <f t="shared" si="5"/>
        <v>3.9357453235610738E-9</v>
      </c>
      <c r="G71" s="245">
        <v>0</v>
      </c>
      <c r="H71" s="245">
        <f t="shared" si="3"/>
        <v>0</v>
      </c>
    </row>
    <row r="72" spans="2:13" ht="12.75" customHeight="1" x14ac:dyDescent="0.2">
      <c r="B72" s="6"/>
      <c r="C72" s="245"/>
      <c r="D72" s="245"/>
      <c r="E72" s="245"/>
      <c r="F72" s="245"/>
      <c r="G72" s="245"/>
      <c r="H72" s="245"/>
    </row>
    <row r="73" spans="2:13" ht="12.75" customHeight="1" x14ac:dyDescent="0.2">
      <c r="B73" s="6"/>
      <c r="C73" s="245"/>
      <c r="D73" s="245"/>
      <c r="E73" s="245"/>
      <c r="F73" s="245"/>
      <c r="G73" s="245"/>
      <c r="H73" s="245"/>
    </row>
    <row r="74" spans="2:13" ht="12.75" customHeight="1" x14ac:dyDescent="0.2">
      <c r="B74" s="6"/>
      <c r="C74" s="245"/>
      <c r="D74" s="245"/>
      <c r="E74" s="245"/>
      <c r="F74" s="245"/>
      <c r="G74" s="245"/>
      <c r="H74" s="245"/>
    </row>
    <row r="75" spans="2:13" ht="12.75" customHeight="1" x14ac:dyDescent="0.2">
      <c r="B75" s="239"/>
      <c r="C75" s="240"/>
      <c r="D75" s="240"/>
      <c r="E75" s="240"/>
      <c r="F75" s="240"/>
      <c r="G75" s="245"/>
      <c r="H75" s="245"/>
    </row>
    <row r="76" spans="2:13" ht="12.75" customHeight="1" x14ac:dyDescent="0.2">
      <c r="B76" s="239"/>
      <c r="C76" s="240"/>
      <c r="D76" s="240"/>
      <c r="E76" s="240"/>
      <c r="F76" s="240"/>
      <c r="G76" s="245"/>
      <c r="H76" s="245"/>
    </row>
    <row r="77" spans="2:13" ht="12.75" customHeight="1" x14ac:dyDescent="0.2">
      <c r="C77" s="245"/>
      <c r="D77" s="245"/>
      <c r="E77" s="245"/>
      <c r="F77" s="245"/>
      <c r="G77" s="245"/>
      <c r="H77" s="245"/>
    </row>
    <row r="78" spans="2:13" ht="12.75" customHeight="1" x14ac:dyDescent="0.2">
      <c r="C78" s="245"/>
      <c r="D78" s="245"/>
      <c r="E78" s="245"/>
      <c r="F78" s="245"/>
      <c r="G78" s="245"/>
      <c r="H78" s="245"/>
    </row>
    <row r="79" spans="2:13" ht="12.75" customHeight="1" x14ac:dyDescent="0.2">
      <c r="C79" s="245"/>
      <c r="D79" s="245"/>
      <c r="E79" s="245"/>
      <c r="F79" s="245"/>
      <c r="G79" s="245"/>
      <c r="H79" s="245"/>
    </row>
    <row r="80" spans="2:13" ht="12.75" customHeight="1" x14ac:dyDescent="0.2">
      <c r="C80" s="245"/>
      <c r="D80" s="245"/>
      <c r="E80" s="245"/>
      <c r="F80" s="245"/>
      <c r="G80" s="245"/>
      <c r="H80" s="245"/>
    </row>
    <row r="81" spans="3:8" ht="12.75" customHeight="1" x14ac:dyDescent="0.2">
      <c r="C81" s="245"/>
      <c r="D81" s="245"/>
      <c r="E81" s="245"/>
      <c r="F81" s="245"/>
      <c r="G81" s="245"/>
      <c r="H81" s="245"/>
    </row>
    <row r="82" spans="3:8" ht="12.75" customHeight="1" x14ac:dyDescent="0.2">
      <c r="C82" s="245"/>
      <c r="D82" s="245"/>
      <c r="E82" s="245"/>
      <c r="F82" s="245"/>
      <c r="G82" s="245"/>
      <c r="H82" s="245"/>
    </row>
    <row r="83" spans="3:8" ht="12.75" customHeight="1" x14ac:dyDescent="0.2">
      <c r="C83" s="245"/>
      <c r="D83" s="245"/>
      <c r="E83" s="245"/>
      <c r="F83" s="245"/>
      <c r="G83" s="245"/>
      <c r="H83" s="245"/>
    </row>
    <row r="84" spans="3:8" ht="12.75" customHeight="1" x14ac:dyDescent="0.2">
      <c r="C84" s="245"/>
      <c r="D84" s="245"/>
      <c r="E84" s="245"/>
      <c r="F84" s="245"/>
      <c r="G84" s="245"/>
      <c r="H84" s="245"/>
    </row>
    <row r="85" spans="3:8" ht="12.75" customHeight="1" x14ac:dyDescent="0.2">
      <c r="C85" s="245"/>
      <c r="D85" s="245"/>
      <c r="E85" s="245"/>
      <c r="F85" s="245"/>
      <c r="G85" s="245"/>
      <c r="H85" s="245"/>
    </row>
    <row r="86" spans="3:8" ht="12.75" customHeight="1" x14ac:dyDescent="0.2">
      <c r="C86" s="245"/>
      <c r="D86" s="245"/>
      <c r="E86" s="245"/>
      <c r="F86" s="245"/>
      <c r="G86" s="245"/>
      <c r="H86" s="245"/>
    </row>
    <row r="87" spans="3:8" ht="12.75" customHeight="1" x14ac:dyDescent="0.2">
      <c r="C87" s="245"/>
      <c r="D87" s="245"/>
      <c r="E87" s="245"/>
      <c r="F87" s="245"/>
      <c r="G87" s="245"/>
      <c r="H87" s="245"/>
    </row>
    <row r="88" spans="3:8" ht="12.75" customHeight="1" x14ac:dyDescent="0.2">
      <c r="C88" s="245"/>
      <c r="D88" s="245"/>
      <c r="E88" s="245"/>
      <c r="F88" s="245"/>
      <c r="G88" s="245"/>
      <c r="H88" s="245"/>
    </row>
    <row r="89" spans="3:8" ht="12.75" customHeight="1" x14ac:dyDescent="0.2">
      <c r="C89" s="245"/>
      <c r="D89" s="245"/>
      <c r="E89" s="245"/>
      <c r="F89" s="245"/>
      <c r="G89" s="245"/>
      <c r="H89" s="245"/>
    </row>
    <row r="90" spans="3:8" ht="12.75" customHeight="1" x14ac:dyDescent="0.2">
      <c r="C90" s="245"/>
      <c r="D90" s="245"/>
      <c r="E90" s="245"/>
      <c r="F90" s="245"/>
      <c r="G90" s="245"/>
      <c r="H90" s="245"/>
    </row>
    <row r="91" spans="3:8" ht="12.75" customHeight="1" x14ac:dyDescent="0.2">
      <c r="C91" s="245"/>
      <c r="D91" s="245"/>
      <c r="E91" s="245"/>
      <c r="F91" s="245"/>
      <c r="G91" s="245"/>
      <c r="H91" s="245"/>
    </row>
    <row r="92" spans="3:8" ht="12.75" customHeight="1" x14ac:dyDescent="0.2">
      <c r="C92" s="245"/>
      <c r="D92" s="245"/>
      <c r="E92" s="245"/>
      <c r="F92" s="245"/>
      <c r="G92" s="245"/>
      <c r="H92" s="245"/>
    </row>
    <row r="93" spans="3:8" ht="12.75" customHeight="1" x14ac:dyDescent="0.2">
      <c r="C93" s="245"/>
      <c r="D93" s="245"/>
      <c r="E93" s="245"/>
      <c r="F93" s="245"/>
      <c r="G93" s="245"/>
      <c r="H93" s="245"/>
    </row>
    <row r="94" spans="3:8" ht="12.75" customHeight="1" x14ac:dyDescent="0.2">
      <c r="C94" s="245"/>
      <c r="D94" s="245"/>
      <c r="E94" s="245"/>
      <c r="F94" s="245"/>
      <c r="G94" s="245"/>
      <c r="H94" s="245"/>
    </row>
    <row r="95" spans="3:8" ht="12.75" customHeight="1" x14ac:dyDescent="0.2">
      <c r="C95" s="245"/>
      <c r="D95" s="245"/>
      <c r="E95" s="245"/>
      <c r="F95" s="245"/>
      <c r="G95" s="245"/>
      <c r="H95" s="245"/>
    </row>
    <row r="96" spans="3:8" ht="12.75" customHeight="1" x14ac:dyDescent="0.2">
      <c r="C96" s="245"/>
      <c r="D96" s="245"/>
      <c r="E96" s="245"/>
      <c r="F96" s="245"/>
      <c r="G96" s="245"/>
      <c r="H96" s="245"/>
    </row>
    <row r="97" spans="3:8" ht="12.75" customHeight="1" x14ac:dyDescent="0.2">
      <c r="C97" s="245"/>
      <c r="D97" s="245"/>
      <c r="E97" s="245"/>
      <c r="F97" s="245"/>
      <c r="G97" s="245"/>
      <c r="H97" s="245"/>
    </row>
    <row r="98" spans="3:8" ht="12.75" customHeight="1" x14ac:dyDescent="0.2">
      <c r="C98" s="245"/>
      <c r="D98" s="245"/>
      <c r="E98" s="245"/>
      <c r="F98" s="245"/>
      <c r="G98" s="245"/>
      <c r="H98" s="245"/>
    </row>
    <row r="99" spans="3:8" ht="12.75" customHeight="1" x14ac:dyDescent="0.2">
      <c r="C99" s="245"/>
      <c r="D99" s="245"/>
      <c r="E99" s="245"/>
      <c r="F99" s="245"/>
      <c r="G99" s="245"/>
      <c r="H99" s="245"/>
    </row>
    <row r="100" spans="3:8" ht="12.75" customHeight="1" x14ac:dyDescent="0.2">
      <c r="C100" s="245"/>
      <c r="D100" s="245"/>
      <c r="E100" s="245"/>
      <c r="F100" s="245"/>
      <c r="G100" s="245"/>
      <c r="H100" s="245"/>
    </row>
    <row r="101" spans="3:8" ht="12.75" customHeight="1" x14ac:dyDescent="0.2">
      <c r="C101" s="245"/>
      <c r="D101" s="245"/>
      <c r="E101" s="245"/>
      <c r="F101" s="245"/>
      <c r="G101" s="245"/>
      <c r="H101" s="245"/>
    </row>
    <row r="102" spans="3:8" ht="12.75" customHeight="1" x14ac:dyDescent="0.2">
      <c r="C102" s="245"/>
      <c r="D102" s="245"/>
      <c r="E102" s="245"/>
      <c r="F102" s="245"/>
      <c r="G102" s="245"/>
      <c r="H102" s="245"/>
    </row>
    <row r="103" spans="3:8" ht="12.75" customHeight="1" x14ac:dyDescent="0.2">
      <c r="C103" s="245"/>
      <c r="D103" s="245"/>
      <c r="E103" s="245"/>
      <c r="F103" s="245"/>
      <c r="G103" s="245"/>
      <c r="H103" s="245"/>
    </row>
    <row r="104" spans="3:8" ht="12.75" customHeight="1" x14ac:dyDescent="0.2">
      <c r="C104" s="245"/>
      <c r="D104" s="245"/>
      <c r="E104" s="245"/>
      <c r="F104" s="245"/>
      <c r="G104" s="245"/>
      <c r="H104" s="245"/>
    </row>
    <row r="105" spans="3:8" ht="12.75" customHeight="1" x14ac:dyDescent="0.2">
      <c r="C105" s="245"/>
      <c r="D105" s="245"/>
      <c r="E105" s="245"/>
      <c r="F105" s="245"/>
      <c r="G105" s="245"/>
      <c r="H105" s="245"/>
    </row>
    <row r="106" spans="3:8" ht="12.75" customHeight="1" x14ac:dyDescent="0.2">
      <c r="C106" s="245"/>
      <c r="D106" s="245"/>
      <c r="E106" s="245"/>
      <c r="F106" s="245"/>
      <c r="G106" s="245"/>
      <c r="H106" s="245"/>
    </row>
    <row r="107" spans="3:8" ht="12.75" customHeight="1" x14ac:dyDescent="0.2">
      <c r="C107" s="245"/>
      <c r="D107" s="245"/>
      <c r="E107" s="245"/>
      <c r="F107" s="245"/>
      <c r="G107" s="245"/>
      <c r="H107" s="245"/>
    </row>
    <row r="108" spans="3:8" ht="12.75" customHeight="1" x14ac:dyDescent="0.2">
      <c r="C108" s="245"/>
      <c r="D108" s="245"/>
      <c r="E108" s="245"/>
      <c r="F108" s="245"/>
      <c r="G108" s="245"/>
      <c r="H108" s="245"/>
    </row>
    <row r="109" spans="3:8" ht="12.75" customHeight="1" x14ac:dyDescent="0.2">
      <c r="C109" s="245"/>
      <c r="D109" s="245"/>
      <c r="E109" s="245"/>
      <c r="F109" s="245"/>
      <c r="G109" s="245"/>
      <c r="H109" s="245"/>
    </row>
    <row r="110" spans="3:8" ht="12.75" customHeight="1" x14ac:dyDescent="0.2">
      <c r="C110" s="245"/>
      <c r="D110" s="245"/>
      <c r="E110" s="245"/>
      <c r="F110" s="245"/>
      <c r="G110" s="245"/>
      <c r="H110" s="245"/>
    </row>
    <row r="111" spans="3:8" ht="12.75" customHeight="1" x14ac:dyDescent="0.2">
      <c r="C111" s="245"/>
      <c r="D111" s="245"/>
      <c r="E111" s="245"/>
      <c r="F111" s="245"/>
      <c r="G111" s="245"/>
      <c r="H111" s="245"/>
    </row>
    <row r="112" spans="3:8" ht="12.75" customHeight="1" x14ac:dyDescent="0.2">
      <c r="C112" s="245"/>
      <c r="D112" s="245"/>
      <c r="E112" s="245"/>
      <c r="F112" s="245"/>
      <c r="G112" s="245"/>
      <c r="H112" s="245"/>
    </row>
    <row r="113" spans="3:8" ht="12.75" customHeight="1" x14ac:dyDescent="0.2">
      <c r="C113" s="245"/>
      <c r="D113" s="245"/>
      <c r="E113" s="245"/>
      <c r="F113" s="245"/>
      <c r="G113" s="245"/>
      <c r="H113" s="245"/>
    </row>
    <row r="114" spans="3:8" ht="12.75" customHeight="1" x14ac:dyDescent="0.2">
      <c r="C114" s="245"/>
      <c r="D114" s="245"/>
      <c r="E114" s="245"/>
      <c r="F114" s="245"/>
      <c r="G114" s="245"/>
      <c r="H114" s="245"/>
    </row>
    <row r="115" spans="3:8" ht="12.75" customHeight="1" x14ac:dyDescent="0.2">
      <c r="C115" s="245"/>
      <c r="D115" s="245"/>
      <c r="E115" s="245"/>
      <c r="F115" s="245"/>
      <c r="G115" s="245"/>
      <c r="H115" s="245"/>
    </row>
    <row r="116" spans="3:8" ht="12.75" customHeight="1" x14ac:dyDescent="0.2">
      <c r="C116" s="245"/>
      <c r="D116" s="245"/>
      <c r="E116" s="245"/>
      <c r="F116" s="245"/>
      <c r="G116" s="245"/>
      <c r="H116" s="245"/>
    </row>
    <row r="117" spans="3:8" ht="12.75" customHeight="1" x14ac:dyDescent="0.2">
      <c r="C117" s="245"/>
      <c r="D117" s="245"/>
      <c r="E117" s="245"/>
      <c r="F117" s="245"/>
      <c r="G117" s="245"/>
      <c r="H117" s="245"/>
    </row>
    <row r="118" spans="3:8" ht="12.75" customHeight="1" x14ac:dyDescent="0.2">
      <c r="C118" s="245"/>
      <c r="D118" s="245"/>
      <c r="E118" s="245"/>
      <c r="F118" s="245"/>
      <c r="G118" s="245"/>
      <c r="H118" s="245"/>
    </row>
    <row r="119" spans="3:8" ht="12.75" customHeight="1" x14ac:dyDescent="0.2">
      <c r="C119" s="245"/>
      <c r="D119" s="245"/>
      <c r="E119" s="245"/>
      <c r="F119" s="245"/>
      <c r="G119" s="245"/>
      <c r="H119" s="245"/>
    </row>
    <row r="120" spans="3:8" ht="12.75" customHeight="1" x14ac:dyDescent="0.2">
      <c r="C120" s="245"/>
      <c r="D120" s="245"/>
      <c r="E120" s="245"/>
      <c r="F120" s="245"/>
      <c r="G120" s="245"/>
      <c r="H120" s="245"/>
    </row>
    <row r="121" spans="3:8" ht="12.75" customHeight="1" x14ac:dyDescent="0.2">
      <c r="C121" s="245"/>
      <c r="D121" s="245"/>
      <c r="E121" s="245"/>
      <c r="F121" s="245"/>
      <c r="G121" s="245"/>
      <c r="H121" s="245"/>
    </row>
    <row r="122" spans="3:8" ht="12.75" customHeight="1" x14ac:dyDescent="0.2">
      <c r="C122" s="245"/>
      <c r="D122" s="245"/>
      <c r="E122" s="245"/>
      <c r="F122" s="245"/>
      <c r="G122" s="245"/>
      <c r="H122" s="245"/>
    </row>
    <row r="123" spans="3:8" ht="12.75" customHeight="1" x14ac:dyDescent="0.2">
      <c r="C123" s="245"/>
      <c r="D123" s="245"/>
      <c r="E123" s="245"/>
      <c r="F123" s="245"/>
      <c r="G123" s="245"/>
      <c r="H123" s="245"/>
    </row>
    <row r="124" spans="3:8" ht="12.75" customHeight="1" x14ac:dyDescent="0.2">
      <c r="C124" s="245"/>
      <c r="D124" s="245"/>
      <c r="E124" s="245"/>
      <c r="F124" s="245"/>
      <c r="G124" s="245"/>
      <c r="H124" s="245"/>
    </row>
    <row r="125" spans="3:8" ht="12.75" customHeight="1" x14ac:dyDescent="0.2">
      <c r="C125" s="245"/>
      <c r="D125" s="245"/>
      <c r="E125" s="245"/>
      <c r="F125" s="245"/>
      <c r="G125" s="245"/>
      <c r="H125" s="245"/>
    </row>
    <row r="126" spans="3:8" ht="12.75" customHeight="1" x14ac:dyDescent="0.2">
      <c r="C126" s="245"/>
      <c r="D126" s="245"/>
      <c r="E126" s="245"/>
      <c r="F126" s="245"/>
      <c r="G126" s="245"/>
      <c r="H126" s="245"/>
    </row>
    <row r="127" spans="3:8" ht="12.75" customHeight="1" x14ac:dyDescent="0.2">
      <c r="C127" s="245"/>
      <c r="D127" s="245"/>
      <c r="E127" s="245"/>
      <c r="F127" s="245"/>
      <c r="G127" s="245"/>
      <c r="H127" s="245"/>
    </row>
    <row r="128" spans="3:8" ht="12.75" customHeight="1" x14ac:dyDescent="0.2">
      <c r="C128" s="245"/>
      <c r="D128" s="245"/>
      <c r="E128" s="245"/>
      <c r="F128" s="245"/>
      <c r="G128" s="245"/>
      <c r="H128" s="245"/>
    </row>
    <row r="129" spans="3:8" ht="12.75" customHeight="1" x14ac:dyDescent="0.2">
      <c r="C129" s="245"/>
      <c r="D129" s="245"/>
      <c r="E129" s="245"/>
      <c r="F129" s="245"/>
      <c r="G129" s="245"/>
      <c r="H129" s="245"/>
    </row>
    <row r="130" spans="3:8" ht="12.75" customHeight="1" x14ac:dyDescent="0.2">
      <c r="C130" s="245"/>
      <c r="D130" s="245"/>
      <c r="E130" s="245"/>
      <c r="F130" s="245"/>
      <c r="G130" s="245"/>
      <c r="H130" s="245"/>
    </row>
    <row r="131" spans="3:8" ht="12.75" customHeight="1" x14ac:dyDescent="0.2">
      <c r="C131" s="245"/>
      <c r="D131" s="245"/>
      <c r="E131" s="245"/>
      <c r="F131" s="245"/>
      <c r="G131" s="245"/>
      <c r="H131" s="245"/>
    </row>
    <row r="132" spans="3:8" ht="12.75" customHeight="1" x14ac:dyDescent="0.2">
      <c r="C132" s="245"/>
      <c r="D132" s="245"/>
      <c r="E132" s="245"/>
      <c r="F132" s="245"/>
      <c r="G132" s="245"/>
      <c r="H132" s="245"/>
    </row>
    <row r="133" spans="3:8" ht="12.75" customHeight="1" x14ac:dyDescent="0.2">
      <c r="C133" s="245"/>
      <c r="D133" s="245"/>
      <c r="E133" s="245"/>
      <c r="F133" s="245"/>
      <c r="G133" s="245"/>
      <c r="H133" s="245"/>
    </row>
    <row r="134" spans="3:8" ht="12.75" customHeight="1" x14ac:dyDescent="0.2">
      <c r="C134" s="245"/>
      <c r="D134" s="245"/>
      <c r="E134" s="245"/>
      <c r="F134" s="245"/>
      <c r="G134" s="245"/>
      <c r="H134" s="245"/>
    </row>
    <row r="135" spans="3:8" ht="12.75" customHeight="1" x14ac:dyDescent="0.2">
      <c r="C135" s="245"/>
      <c r="D135" s="245"/>
      <c r="E135" s="245"/>
      <c r="F135" s="245"/>
      <c r="G135" s="245"/>
      <c r="H135" s="245"/>
    </row>
    <row r="136" spans="3:8" ht="12.75" customHeight="1" x14ac:dyDescent="0.2">
      <c r="C136" s="245"/>
      <c r="D136" s="245"/>
      <c r="E136" s="245"/>
      <c r="F136" s="245"/>
      <c r="G136" s="245"/>
      <c r="H136" s="245"/>
    </row>
    <row r="137" spans="3:8" ht="12.75" customHeight="1" x14ac:dyDescent="0.2">
      <c r="C137" s="245"/>
      <c r="D137" s="245"/>
      <c r="E137" s="245"/>
      <c r="F137" s="245"/>
      <c r="G137" s="245"/>
      <c r="H137" s="245"/>
    </row>
    <row r="138" spans="3:8" ht="12.75" customHeight="1" x14ac:dyDescent="0.2">
      <c r="C138" s="245"/>
      <c r="D138" s="245"/>
      <c r="E138" s="245"/>
      <c r="F138" s="245"/>
      <c r="G138" s="245"/>
      <c r="H138" s="245"/>
    </row>
    <row r="139" spans="3:8" ht="12.75" customHeight="1" x14ac:dyDescent="0.2">
      <c r="C139" s="245"/>
      <c r="D139" s="245"/>
      <c r="E139" s="245"/>
      <c r="F139" s="245"/>
      <c r="G139" s="245"/>
      <c r="H139" s="245"/>
    </row>
    <row r="140" spans="3:8" ht="12.75" customHeight="1" x14ac:dyDescent="0.2">
      <c r="C140" s="245"/>
      <c r="D140" s="245"/>
      <c r="E140" s="245"/>
      <c r="F140" s="245"/>
      <c r="G140" s="245"/>
      <c r="H140" s="245"/>
    </row>
    <row r="141" spans="3:8" ht="12.75" customHeight="1" x14ac:dyDescent="0.2">
      <c r="C141" s="245"/>
      <c r="D141" s="245"/>
      <c r="E141" s="245"/>
      <c r="F141" s="245"/>
      <c r="G141" s="245"/>
      <c r="H141" s="245"/>
    </row>
    <row r="142" spans="3:8" ht="12.75" customHeight="1" x14ac:dyDescent="0.2">
      <c r="C142" s="245"/>
      <c r="D142" s="245"/>
      <c r="E142" s="245"/>
      <c r="F142" s="245"/>
      <c r="G142" s="245"/>
      <c r="H142" s="245"/>
    </row>
    <row r="143" spans="3:8" ht="12.75" customHeight="1" x14ac:dyDescent="0.2">
      <c r="C143" s="245"/>
      <c r="D143" s="245"/>
      <c r="E143" s="245"/>
      <c r="F143" s="245"/>
      <c r="G143" s="245"/>
      <c r="H143" s="245"/>
    </row>
    <row r="144" spans="3:8" ht="12.75" customHeight="1" x14ac:dyDescent="0.2">
      <c r="C144" s="245"/>
      <c r="D144" s="245"/>
      <c r="E144" s="245"/>
      <c r="F144" s="245"/>
      <c r="G144" s="245"/>
      <c r="H144" s="245"/>
    </row>
    <row r="145" spans="3:8" ht="12.75" customHeight="1" x14ac:dyDescent="0.2">
      <c r="C145" s="245"/>
      <c r="D145" s="245"/>
      <c r="E145" s="245"/>
      <c r="F145" s="245"/>
      <c r="G145" s="245"/>
      <c r="H145" s="245"/>
    </row>
    <row r="146" spans="3:8" ht="12.75" customHeight="1" x14ac:dyDescent="0.2">
      <c r="C146" s="245"/>
      <c r="D146" s="245"/>
      <c r="E146" s="245"/>
      <c r="F146" s="245"/>
      <c r="G146" s="245"/>
      <c r="H146" s="245"/>
    </row>
    <row r="147" spans="3:8" ht="12.75" customHeight="1" x14ac:dyDescent="0.2">
      <c r="C147" s="245"/>
      <c r="D147" s="245"/>
      <c r="E147" s="245"/>
      <c r="F147" s="245"/>
      <c r="G147" s="245"/>
      <c r="H147" s="245"/>
    </row>
    <row r="148" spans="3:8" ht="12.75" customHeight="1" x14ac:dyDescent="0.2">
      <c r="C148" s="245"/>
      <c r="D148" s="245"/>
      <c r="E148" s="245"/>
      <c r="F148" s="245"/>
      <c r="G148" s="245"/>
      <c r="H148" s="245"/>
    </row>
    <row r="149" spans="3:8" ht="12.75" customHeight="1" x14ac:dyDescent="0.2">
      <c r="C149" s="245"/>
      <c r="D149" s="245"/>
      <c r="E149" s="245"/>
      <c r="F149" s="245"/>
      <c r="G149" s="245"/>
      <c r="H149" s="245"/>
    </row>
    <row r="150" spans="3:8" ht="12.75" customHeight="1" x14ac:dyDescent="0.2">
      <c r="C150" s="245"/>
      <c r="D150" s="245"/>
      <c r="E150" s="245"/>
      <c r="F150" s="245"/>
      <c r="G150" s="245"/>
      <c r="H150" s="245"/>
    </row>
    <row r="151" spans="3:8" ht="12.75" customHeight="1" x14ac:dyDescent="0.2">
      <c r="C151" s="245"/>
      <c r="D151" s="245"/>
      <c r="E151" s="245"/>
      <c r="F151" s="245"/>
      <c r="G151" s="245"/>
      <c r="H151" s="245"/>
    </row>
    <row r="152" spans="3:8" ht="12.75" customHeight="1" x14ac:dyDescent="0.2">
      <c r="C152" s="245"/>
      <c r="D152" s="245"/>
      <c r="E152" s="245"/>
      <c r="F152" s="245"/>
      <c r="G152" s="245"/>
      <c r="H152" s="245"/>
    </row>
    <row r="153" spans="3:8" ht="12.75" customHeight="1" x14ac:dyDescent="0.2">
      <c r="C153" s="245"/>
      <c r="D153" s="245"/>
      <c r="E153" s="245"/>
      <c r="F153" s="245"/>
      <c r="G153" s="245"/>
      <c r="H153" s="245"/>
    </row>
    <row r="154" spans="3:8" ht="12.75" customHeight="1" x14ac:dyDescent="0.2">
      <c r="C154" s="245"/>
      <c r="D154" s="245"/>
      <c r="E154" s="245"/>
      <c r="F154" s="245"/>
      <c r="G154" s="245"/>
      <c r="H154" s="245"/>
    </row>
    <row r="155" spans="3:8" ht="12.75" customHeight="1" x14ac:dyDescent="0.2">
      <c r="C155" s="245"/>
      <c r="D155" s="245"/>
      <c r="E155" s="245"/>
      <c r="F155" s="245"/>
      <c r="G155" s="245"/>
      <c r="H155" s="245"/>
    </row>
    <row r="156" spans="3:8" ht="12.75" customHeight="1" x14ac:dyDescent="0.2">
      <c r="C156" s="245"/>
      <c r="D156" s="245"/>
      <c r="E156" s="245"/>
      <c r="F156" s="245"/>
      <c r="G156" s="245"/>
      <c r="H156" s="245"/>
    </row>
    <row r="157" spans="3:8" ht="12.75" customHeight="1" x14ac:dyDescent="0.2">
      <c r="C157" s="245"/>
      <c r="D157" s="245"/>
      <c r="E157" s="245"/>
      <c r="F157" s="245"/>
      <c r="G157" s="245"/>
      <c r="H157" s="245"/>
    </row>
    <row r="158" spans="3:8" ht="12.75" customHeight="1" x14ac:dyDescent="0.2">
      <c r="C158" s="245"/>
      <c r="D158" s="245"/>
      <c r="E158" s="245"/>
      <c r="F158" s="245"/>
      <c r="G158" s="245"/>
      <c r="H158" s="245"/>
    </row>
    <row r="159" spans="3:8" ht="12.75" customHeight="1" x14ac:dyDescent="0.2">
      <c r="C159" s="245"/>
      <c r="D159" s="245"/>
      <c r="E159" s="245"/>
      <c r="F159" s="245"/>
      <c r="G159" s="245"/>
      <c r="H159" s="245"/>
    </row>
    <row r="160" spans="3:8" ht="12.75" customHeight="1" x14ac:dyDescent="0.2">
      <c r="C160" s="245"/>
      <c r="D160" s="245"/>
      <c r="E160" s="245"/>
      <c r="F160" s="245"/>
      <c r="G160" s="245"/>
      <c r="H160" s="245"/>
    </row>
    <row r="161" spans="3:8" ht="12.75" customHeight="1" x14ac:dyDescent="0.2">
      <c r="C161" s="245"/>
      <c r="D161" s="245"/>
      <c r="E161" s="245"/>
      <c r="F161" s="245"/>
      <c r="G161" s="245"/>
      <c r="H161" s="245"/>
    </row>
    <row r="162" spans="3:8" ht="12.75" customHeight="1" x14ac:dyDescent="0.2">
      <c r="C162" s="245"/>
      <c r="D162" s="245"/>
      <c r="E162" s="245"/>
      <c r="F162" s="245"/>
      <c r="G162" s="245"/>
      <c r="H162" s="245"/>
    </row>
    <row r="163" spans="3:8" ht="12.75" customHeight="1" x14ac:dyDescent="0.2">
      <c r="C163" s="245"/>
      <c r="D163" s="245"/>
      <c r="E163" s="245"/>
      <c r="F163" s="245"/>
      <c r="G163" s="245"/>
      <c r="H163" s="245"/>
    </row>
    <row r="164" spans="3:8" ht="12.75" customHeight="1" x14ac:dyDescent="0.2">
      <c r="C164" s="245"/>
      <c r="D164" s="245"/>
      <c r="E164" s="245"/>
      <c r="F164" s="245"/>
      <c r="G164" s="245"/>
      <c r="H164" s="245"/>
    </row>
    <row r="165" spans="3:8" ht="12.75" customHeight="1" x14ac:dyDescent="0.2">
      <c r="C165" s="245"/>
      <c r="D165" s="245"/>
      <c r="E165" s="245"/>
      <c r="F165" s="245"/>
      <c r="G165" s="245"/>
      <c r="H165" s="245"/>
    </row>
    <row r="166" spans="3:8" ht="12.75" customHeight="1" x14ac:dyDescent="0.2">
      <c r="C166" s="245"/>
      <c r="D166" s="245"/>
      <c r="E166" s="245"/>
      <c r="F166" s="245"/>
      <c r="G166" s="245"/>
      <c r="H166" s="245"/>
    </row>
    <row r="167" spans="3:8" ht="12.75" customHeight="1" x14ac:dyDescent="0.2">
      <c r="C167" s="245"/>
      <c r="D167" s="245"/>
      <c r="E167" s="245"/>
      <c r="F167" s="245"/>
      <c r="G167" s="245"/>
      <c r="H167" s="245"/>
    </row>
    <row r="168" spans="3:8" ht="12.75" customHeight="1" x14ac:dyDescent="0.2">
      <c r="C168" s="245"/>
      <c r="D168" s="245"/>
      <c r="E168" s="245"/>
      <c r="F168" s="245"/>
      <c r="G168" s="245"/>
      <c r="H168" s="245"/>
    </row>
    <row r="169" spans="3:8" ht="12.75" customHeight="1" x14ac:dyDescent="0.2">
      <c r="C169" s="245"/>
      <c r="D169" s="245"/>
      <c r="E169" s="245"/>
      <c r="F169" s="245"/>
      <c r="G169" s="245"/>
      <c r="H169" s="245"/>
    </row>
    <row r="170" spans="3:8" ht="12.75" customHeight="1" x14ac:dyDescent="0.2">
      <c r="C170" s="245"/>
      <c r="D170" s="245"/>
      <c r="E170" s="245"/>
      <c r="F170" s="245"/>
      <c r="G170" s="245"/>
      <c r="H170" s="245"/>
    </row>
    <row r="171" spans="3:8" ht="12.75" customHeight="1" x14ac:dyDescent="0.2">
      <c r="C171" s="245"/>
      <c r="D171" s="245"/>
      <c r="E171" s="245"/>
      <c r="F171" s="245"/>
      <c r="G171" s="245"/>
      <c r="H171" s="245"/>
    </row>
    <row r="172" spans="3:8" ht="12.75" customHeight="1" x14ac:dyDescent="0.2">
      <c r="C172" s="245"/>
      <c r="D172" s="245"/>
      <c r="E172" s="245"/>
      <c r="F172" s="245"/>
      <c r="G172" s="245"/>
      <c r="H172" s="245"/>
    </row>
    <row r="173" spans="3:8" ht="12.75" customHeight="1" x14ac:dyDescent="0.2">
      <c r="C173" s="245"/>
      <c r="D173" s="245"/>
      <c r="E173" s="245"/>
      <c r="F173" s="245"/>
      <c r="G173" s="245"/>
      <c r="H173" s="245"/>
    </row>
    <row r="174" spans="3:8" ht="12.75" customHeight="1" x14ac:dyDescent="0.2">
      <c r="C174" s="245"/>
      <c r="D174" s="245"/>
      <c r="E174" s="245"/>
      <c r="F174" s="245"/>
      <c r="G174" s="245"/>
      <c r="H174" s="245"/>
    </row>
    <row r="175" spans="3:8" ht="12.75" customHeight="1" x14ac:dyDescent="0.2">
      <c r="C175" s="245"/>
      <c r="D175" s="245"/>
      <c r="E175" s="245"/>
      <c r="F175" s="245"/>
      <c r="G175" s="245"/>
      <c r="H175" s="245"/>
    </row>
    <row r="176" spans="3:8" ht="12.75" customHeight="1" x14ac:dyDescent="0.2">
      <c r="C176" s="245"/>
      <c r="D176" s="245"/>
      <c r="E176" s="245"/>
      <c r="F176" s="245"/>
      <c r="G176" s="245"/>
      <c r="H176" s="245"/>
    </row>
    <row r="177" spans="3:8" ht="12.75" customHeight="1" x14ac:dyDescent="0.2">
      <c r="C177" s="245"/>
      <c r="D177" s="245"/>
      <c r="E177" s="245"/>
      <c r="F177" s="245"/>
      <c r="G177" s="245"/>
      <c r="H177" s="245"/>
    </row>
    <row r="178" spans="3:8" ht="12.75" customHeight="1" x14ac:dyDescent="0.2">
      <c r="C178" s="245"/>
      <c r="D178" s="245"/>
      <c r="E178" s="245"/>
      <c r="F178" s="245"/>
      <c r="G178" s="245"/>
      <c r="H178" s="245"/>
    </row>
    <row r="179" spans="3:8" ht="12.75" customHeight="1" x14ac:dyDescent="0.2">
      <c r="C179" s="245"/>
      <c r="D179" s="245"/>
      <c r="E179" s="245"/>
      <c r="F179" s="245"/>
      <c r="G179" s="245"/>
      <c r="H179" s="245"/>
    </row>
    <row r="180" spans="3:8" ht="12.75" customHeight="1" x14ac:dyDescent="0.2">
      <c r="C180" s="245"/>
      <c r="D180" s="245"/>
      <c r="E180" s="245"/>
      <c r="F180" s="245"/>
      <c r="G180" s="245"/>
      <c r="H180" s="245"/>
    </row>
    <row r="181" spans="3:8" ht="12.75" customHeight="1" x14ac:dyDescent="0.2">
      <c r="C181" s="245"/>
      <c r="D181" s="245"/>
      <c r="E181" s="245"/>
      <c r="F181" s="245"/>
      <c r="G181" s="245"/>
      <c r="H181" s="245"/>
    </row>
    <row r="182" spans="3:8" ht="12.75" customHeight="1" x14ac:dyDescent="0.2">
      <c r="C182" s="245"/>
      <c r="D182" s="245"/>
      <c r="E182" s="245"/>
      <c r="F182" s="245"/>
      <c r="G182" s="245"/>
      <c r="H182" s="245"/>
    </row>
    <row r="183" spans="3:8" ht="12.75" customHeight="1" x14ac:dyDescent="0.2">
      <c r="C183" s="245"/>
      <c r="D183" s="245"/>
      <c r="E183" s="245"/>
      <c r="F183" s="245"/>
      <c r="G183" s="245"/>
      <c r="H183" s="245"/>
    </row>
    <row r="184" spans="3:8" ht="12.75" customHeight="1" x14ac:dyDescent="0.2">
      <c r="C184" s="245"/>
      <c r="D184" s="245"/>
      <c r="E184" s="245"/>
      <c r="F184" s="245"/>
      <c r="G184" s="245"/>
      <c r="H184" s="245"/>
    </row>
    <row r="185" spans="3:8" ht="12.75" customHeight="1" x14ac:dyDescent="0.2">
      <c r="C185" s="245"/>
      <c r="D185" s="245"/>
      <c r="E185" s="245"/>
      <c r="F185" s="245"/>
      <c r="G185" s="245"/>
      <c r="H185" s="245"/>
    </row>
    <row r="186" spans="3:8" ht="12.75" customHeight="1" x14ac:dyDescent="0.2">
      <c r="C186" s="245"/>
      <c r="D186" s="245"/>
      <c r="E186" s="245"/>
      <c r="F186" s="245"/>
      <c r="G186" s="245"/>
      <c r="H186" s="245"/>
    </row>
    <row r="187" spans="3:8" ht="12.75" customHeight="1" x14ac:dyDescent="0.2">
      <c r="C187" s="245"/>
      <c r="D187" s="245"/>
      <c r="E187" s="245"/>
      <c r="F187" s="245"/>
      <c r="G187" s="245"/>
      <c r="H187" s="245"/>
    </row>
    <row r="188" spans="3:8" ht="12.75" customHeight="1" x14ac:dyDescent="0.2">
      <c r="C188" s="245"/>
      <c r="D188" s="245"/>
      <c r="E188" s="245"/>
      <c r="F188" s="245"/>
      <c r="G188" s="245"/>
      <c r="H188" s="245"/>
    </row>
    <row r="189" spans="3:8" ht="12.75" customHeight="1" x14ac:dyDescent="0.2">
      <c r="C189" s="245"/>
      <c r="D189" s="245"/>
      <c r="E189" s="245"/>
      <c r="F189" s="245"/>
      <c r="G189" s="245"/>
      <c r="H189" s="245"/>
    </row>
    <row r="190" spans="3:8" ht="12.75" customHeight="1" x14ac:dyDescent="0.2">
      <c r="C190" s="245"/>
      <c r="D190" s="245"/>
      <c r="E190" s="245"/>
      <c r="F190" s="245"/>
      <c r="G190" s="245"/>
      <c r="H190" s="245"/>
    </row>
    <row r="191" spans="3:8" ht="12.75" customHeight="1" x14ac:dyDescent="0.2">
      <c r="C191" s="245"/>
      <c r="D191" s="245"/>
      <c r="E191" s="245"/>
      <c r="F191" s="245"/>
      <c r="G191" s="245"/>
      <c r="H191" s="245"/>
    </row>
    <row r="192" spans="3:8" ht="12.75" customHeight="1" x14ac:dyDescent="0.2">
      <c r="C192" s="245"/>
      <c r="D192" s="245"/>
      <c r="E192" s="245"/>
      <c r="F192" s="245"/>
      <c r="G192" s="245"/>
      <c r="H192" s="245"/>
    </row>
    <row r="193" spans="3:8" ht="12.75" customHeight="1" x14ac:dyDescent="0.2">
      <c r="C193" s="245"/>
      <c r="D193" s="245"/>
      <c r="E193" s="245"/>
      <c r="F193" s="245"/>
      <c r="G193" s="245"/>
      <c r="H193" s="245"/>
    </row>
    <row r="194" spans="3:8" ht="12.75" customHeight="1" x14ac:dyDescent="0.2">
      <c r="C194" s="245"/>
      <c r="D194" s="245"/>
      <c r="E194" s="245"/>
      <c r="F194" s="245"/>
      <c r="G194" s="245"/>
      <c r="H194" s="245"/>
    </row>
    <row r="195" spans="3:8" ht="12.75" customHeight="1" x14ac:dyDescent="0.2">
      <c r="C195" s="245"/>
      <c r="D195" s="245"/>
      <c r="E195" s="245"/>
      <c r="F195" s="245"/>
      <c r="G195" s="245"/>
      <c r="H195" s="245"/>
    </row>
    <row r="196" spans="3:8" ht="12.75" customHeight="1" x14ac:dyDescent="0.2">
      <c r="C196" s="245"/>
      <c r="D196" s="245"/>
      <c r="E196" s="245"/>
      <c r="F196" s="245"/>
      <c r="G196" s="245"/>
      <c r="H196" s="245"/>
    </row>
    <row r="197" spans="3:8" ht="12.75" customHeight="1" x14ac:dyDescent="0.2">
      <c r="C197" s="245"/>
      <c r="D197" s="245"/>
      <c r="E197" s="245"/>
      <c r="F197" s="245"/>
      <c r="G197" s="245"/>
      <c r="H197" s="245"/>
    </row>
    <row r="198" spans="3:8" ht="12.75" customHeight="1" x14ac:dyDescent="0.2">
      <c r="C198" s="245"/>
      <c r="D198" s="245"/>
      <c r="E198" s="245"/>
      <c r="F198" s="245"/>
      <c r="G198" s="245"/>
      <c r="H198" s="245"/>
    </row>
    <row r="199" spans="3:8" ht="12.75" customHeight="1" x14ac:dyDescent="0.2">
      <c r="C199" s="245"/>
      <c r="D199" s="245"/>
      <c r="E199" s="245"/>
      <c r="F199" s="245"/>
      <c r="G199" s="245"/>
      <c r="H199" s="245"/>
    </row>
    <row r="200" spans="3:8" ht="12.75" customHeight="1" x14ac:dyDescent="0.2">
      <c r="C200" s="245"/>
      <c r="D200" s="245"/>
      <c r="E200" s="245"/>
      <c r="F200" s="245"/>
      <c r="G200" s="245"/>
      <c r="H200" s="245"/>
    </row>
    <row r="201" spans="3:8" ht="12.75" customHeight="1" x14ac:dyDescent="0.2">
      <c r="C201" s="245"/>
      <c r="D201" s="245"/>
      <c r="E201" s="245"/>
      <c r="F201" s="245"/>
      <c r="G201" s="245"/>
      <c r="H201" s="245"/>
    </row>
    <row r="202" spans="3:8" ht="12.75" customHeight="1" x14ac:dyDescent="0.2">
      <c r="C202" s="245"/>
      <c r="D202" s="245"/>
      <c r="E202" s="245"/>
      <c r="F202" s="245"/>
      <c r="G202" s="245"/>
      <c r="H202" s="245"/>
    </row>
    <row r="203" spans="3:8" ht="12.75" customHeight="1" x14ac:dyDescent="0.2">
      <c r="C203" s="245"/>
      <c r="D203" s="245"/>
      <c r="E203" s="245"/>
      <c r="F203" s="245"/>
      <c r="G203" s="245"/>
      <c r="H203" s="245"/>
    </row>
    <row r="204" spans="3:8" ht="12.75" customHeight="1" x14ac:dyDescent="0.2">
      <c r="C204" s="245"/>
      <c r="D204" s="245"/>
      <c r="E204" s="245"/>
      <c r="F204" s="245"/>
      <c r="G204" s="245"/>
      <c r="H204" s="245"/>
    </row>
    <row r="205" spans="3:8" ht="12.75" customHeight="1" x14ac:dyDescent="0.2">
      <c r="C205" s="245"/>
      <c r="D205" s="245"/>
      <c r="E205" s="245"/>
      <c r="F205" s="245"/>
      <c r="G205" s="245"/>
      <c r="H205" s="245"/>
    </row>
    <row r="206" spans="3:8" ht="12.75" customHeight="1" x14ac:dyDescent="0.2">
      <c r="C206" s="245"/>
      <c r="D206" s="245"/>
      <c r="E206" s="245"/>
      <c r="F206" s="245"/>
      <c r="G206" s="245"/>
      <c r="H206" s="245"/>
    </row>
    <row r="207" spans="3:8" ht="12.75" customHeight="1" x14ac:dyDescent="0.2">
      <c r="C207" s="245"/>
      <c r="D207" s="245"/>
      <c r="E207" s="245"/>
      <c r="F207" s="245"/>
      <c r="G207" s="245"/>
      <c r="H207" s="245"/>
    </row>
    <row r="208" spans="3:8" ht="12.75" customHeight="1" x14ac:dyDescent="0.2">
      <c r="C208" s="245"/>
      <c r="D208" s="245"/>
      <c r="E208" s="245"/>
      <c r="F208" s="245"/>
      <c r="G208" s="245"/>
      <c r="H208" s="245"/>
    </row>
    <row r="209" spans="3:8" ht="12.75" customHeight="1" x14ac:dyDescent="0.2">
      <c r="C209" s="245"/>
      <c r="D209" s="245"/>
      <c r="E209" s="245"/>
      <c r="F209" s="245"/>
      <c r="G209" s="245"/>
      <c r="H209" s="245"/>
    </row>
    <row r="210" spans="3:8" ht="12.75" customHeight="1" x14ac:dyDescent="0.2">
      <c r="C210" s="245"/>
      <c r="D210" s="245"/>
      <c r="E210" s="245"/>
      <c r="F210" s="245"/>
      <c r="G210" s="245"/>
      <c r="H210" s="245"/>
    </row>
    <row r="211" spans="3:8" ht="12.75" customHeight="1" x14ac:dyDescent="0.2">
      <c r="C211" s="245"/>
      <c r="D211" s="245"/>
      <c r="E211" s="245"/>
      <c r="F211" s="245"/>
      <c r="G211" s="245"/>
      <c r="H211" s="245"/>
    </row>
    <row r="212" spans="3:8" ht="12.75" customHeight="1" x14ac:dyDescent="0.2">
      <c r="C212" s="245"/>
      <c r="D212" s="245"/>
      <c r="E212" s="245"/>
      <c r="F212" s="245"/>
      <c r="G212" s="245"/>
      <c r="H212" s="245"/>
    </row>
    <row r="213" spans="3:8" ht="12.75" customHeight="1" x14ac:dyDescent="0.2">
      <c r="C213" s="245"/>
      <c r="D213" s="245"/>
      <c r="E213" s="245"/>
      <c r="F213" s="245"/>
      <c r="G213" s="245"/>
      <c r="H213" s="245"/>
    </row>
    <row r="214" spans="3:8" ht="12.75" customHeight="1" x14ac:dyDescent="0.2">
      <c r="C214" s="245"/>
      <c r="D214" s="245"/>
      <c r="E214" s="245"/>
      <c r="F214" s="245"/>
      <c r="G214" s="245"/>
      <c r="H214" s="245"/>
    </row>
    <row r="215" spans="3:8" ht="12.75" customHeight="1" x14ac:dyDescent="0.2">
      <c r="C215" s="245"/>
      <c r="D215" s="245"/>
      <c r="E215" s="245"/>
      <c r="F215" s="245"/>
      <c r="G215" s="245"/>
      <c r="H215" s="245"/>
    </row>
    <row r="216" spans="3:8" ht="12.75" customHeight="1" x14ac:dyDescent="0.2">
      <c r="C216" s="245"/>
      <c r="D216" s="245"/>
      <c r="E216" s="245"/>
      <c r="F216" s="245"/>
      <c r="G216" s="245"/>
      <c r="H216" s="245"/>
    </row>
    <row r="217" spans="3:8" ht="12.75" customHeight="1" x14ac:dyDescent="0.2">
      <c r="C217" s="245"/>
      <c r="D217" s="245"/>
      <c r="E217" s="245"/>
      <c r="F217" s="245"/>
      <c r="G217" s="245"/>
      <c r="H217" s="245"/>
    </row>
    <row r="218" spans="3:8" ht="12.75" customHeight="1" x14ac:dyDescent="0.2">
      <c r="C218" s="245"/>
      <c r="D218" s="245"/>
      <c r="E218" s="245"/>
      <c r="F218" s="245"/>
      <c r="G218" s="245"/>
      <c r="H218" s="245"/>
    </row>
    <row r="219" spans="3:8" ht="12.75" customHeight="1" x14ac:dyDescent="0.2">
      <c r="C219" s="245"/>
      <c r="D219" s="245"/>
      <c r="E219" s="245"/>
      <c r="F219" s="245"/>
      <c r="G219" s="245"/>
      <c r="H219" s="245"/>
    </row>
    <row r="220" spans="3:8" ht="12.75" customHeight="1" x14ac:dyDescent="0.2">
      <c r="C220" s="245"/>
      <c r="D220" s="245"/>
      <c r="E220" s="245"/>
      <c r="F220" s="245"/>
      <c r="G220" s="245"/>
      <c r="H220" s="245"/>
    </row>
    <row r="221" spans="3:8" ht="12.75" customHeight="1" x14ac:dyDescent="0.2">
      <c r="C221" s="245"/>
      <c r="D221" s="245"/>
      <c r="E221" s="245"/>
      <c r="F221" s="245"/>
      <c r="G221" s="245"/>
      <c r="H221" s="245"/>
    </row>
    <row r="222" spans="3:8" ht="12.75" customHeight="1" x14ac:dyDescent="0.2">
      <c r="C222" s="245"/>
      <c r="D222" s="245"/>
      <c r="E222" s="245"/>
      <c r="F222" s="245"/>
      <c r="G222" s="245"/>
      <c r="H222" s="245"/>
    </row>
    <row r="223" spans="3:8" ht="12.75" customHeight="1" x14ac:dyDescent="0.2">
      <c r="C223" s="245"/>
      <c r="D223" s="245"/>
      <c r="E223" s="245"/>
      <c r="F223" s="245"/>
      <c r="G223" s="245"/>
      <c r="H223" s="245"/>
    </row>
    <row r="224" spans="3:8" ht="12.75" customHeight="1" x14ac:dyDescent="0.2">
      <c r="C224" s="245"/>
      <c r="D224" s="245"/>
      <c r="E224" s="245"/>
      <c r="F224" s="245"/>
      <c r="G224" s="245"/>
      <c r="H224" s="245"/>
    </row>
    <row r="225" spans="3:8" ht="12.75" customHeight="1" x14ac:dyDescent="0.2">
      <c r="C225" s="245"/>
      <c r="D225" s="245"/>
      <c r="E225" s="245"/>
      <c r="F225" s="245"/>
      <c r="G225" s="245"/>
      <c r="H225" s="245"/>
    </row>
    <row r="226" spans="3:8" ht="12.75" customHeight="1" x14ac:dyDescent="0.2">
      <c r="C226" s="245"/>
      <c r="D226" s="245"/>
      <c r="E226" s="245"/>
      <c r="F226" s="245"/>
      <c r="G226" s="245"/>
      <c r="H226" s="245"/>
    </row>
    <row r="227" spans="3:8" ht="12.75" customHeight="1" x14ac:dyDescent="0.2">
      <c r="C227" s="245"/>
      <c r="D227" s="245"/>
      <c r="E227" s="245"/>
      <c r="F227" s="245"/>
      <c r="G227" s="245"/>
      <c r="H227" s="245"/>
    </row>
    <row r="228" spans="3:8" ht="12.75" customHeight="1" x14ac:dyDescent="0.2">
      <c r="C228" s="245"/>
      <c r="D228" s="245"/>
      <c r="E228" s="245"/>
      <c r="F228" s="245"/>
      <c r="G228" s="245"/>
      <c r="H228" s="245"/>
    </row>
    <row r="229" spans="3:8" ht="12.75" customHeight="1" x14ac:dyDescent="0.2">
      <c r="C229" s="245"/>
      <c r="D229" s="245"/>
      <c r="E229" s="245"/>
      <c r="F229" s="245"/>
      <c r="G229" s="245"/>
      <c r="H229" s="245"/>
    </row>
    <row r="230" spans="3:8" ht="12.75" customHeight="1" x14ac:dyDescent="0.2">
      <c r="C230" s="245"/>
      <c r="D230" s="245"/>
      <c r="E230" s="245"/>
      <c r="F230" s="245"/>
      <c r="G230" s="245"/>
      <c r="H230" s="245"/>
    </row>
    <row r="231" spans="3:8" ht="12.75" customHeight="1" x14ac:dyDescent="0.2">
      <c r="C231" s="245"/>
      <c r="D231" s="245"/>
      <c r="E231" s="245"/>
      <c r="F231" s="245"/>
      <c r="G231" s="245"/>
      <c r="H231" s="245"/>
    </row>
    <row r="232" spans="3:8" ht="12.75" customHeight="1" x14ac:dyDescent="0.2">
      <c r="C232" s="245"/>
      <c r="D232" s="245"/>
      <c r="E232" s="245"/>
      <c r="F232" s="245"/>
      <c r="G232" s="245"/>
      <c r="H232" s="245"/>
    </row>
    <row r="233" spans="3:8" ht="12.75" customHeight="1" x14ac:dyDescent="0.2">
      <c r="C233" s="245"/>
      <c r="D233" s="245"/>
      <c r="E233" s="245"/>
      <c r="F233" s="245"/>
      <c r="G233" s="245"/>
      <c r="H233" s="245"/>
    </row>
    <row r="234" spans="3:8" ht="12.75" customHeight="1" x14ac:dyDescent="0.2">
      <c r="C234" s="245"/>
      <c r="D234" s="245"/>
      <c r="E234" s="245"/>
      <c r="F234" s="245"/>
      <c r="G234" s="245"/>
      <c r="H234" s="245"/>
    </row>
    <row r="235" spans="3:8" ht="12.75" customHeight="1" x14ac:dyDescent="0.2">
      <c r="C235" s="245"/>
      <c r="D235" s="245"/>
      <c r="E235" s="245"/>
      <c r="F235" s="245"/>
      <c r="G235" s="245"/>
      <c r="H235" s="245"/>
    </row>
    <row r="236" spans="3:8" ht="12.75" customHeight="1" x14ac:dyDescent="0.2">
      <c r="C236" s="245"/>
      <c r="D236" s="245"/>
      <c r="E236" s="245"/>
      <c r="F236" s="245"/>
      <c r="G236" s="245"/>
      <c r="H236" s="245"/>
    </row>
    <row r="237" spans="3:8" ht="12.75" customHeight="1" x14ac:dyDescent="0.2">
      <c r="C237" s="245"/>
      <c r="D237" s="245"/>
      <c r="E237" s="245"/>
      <c r="F237" s="245"/>
      <c r="G237" s="245"/>
      <c r="H237" s="245"/>
    </row>
    <row r="238" spans="3:8" ht="12.75" customHeight="1" x14ac:dyDescent="0.2">
      <c r="C238" s="245"/>
      <c r="D238" s="245"/>
      <c r="E238" s="245"/>
      <c r="F238" s="245"/>
      <c r="G238" s="245"/>
      <c r="H238" s="245"/>
    </row>
    <row r="239" spans="3:8" ht="12.75" customHeight="1" x14ac:dyDescent="0.2">
      <c r="C239" s="245"/>
      <c r="D239" s="245"/>
      <c r="E239" s="245"/>
      <c r="F239" s="245"/>
      <c r="G239" s="245"/>
      <c r="H239" s="245"/>
    </row>
    <row r="240" spans="3:8" ht="12.75" customHeight="1" x14ac:dyDescent="0.2">
      <c r="C240" s="245"/>
      <c r="D240" s="245"/>
      <c r="E240" s="245"/>
      <c r="F240" s="245"/>
      <c r="G240" s="245"/>
      <c r="H240" s="245"/>
    </row>
    <row r="241" spans="3:8" ht="12.75" customHeight="1" x14ac:dyDescent="0.2">
      <c r="C241" s="245"/>
      <c r="D241" s="245"/>
      <c r="E241" s="245"/>
      <c r="F241" s="245"/>
      <c r="G241" s="245"/>
      <c r="H241" s="245"/>
    </row>
    <row r="242" spans="3:8" ht="12.75" customHeight="1" x14ac:dyDescent="0.2">
      <c r="C242" s="245"/>
      <c r="D242" s="245"/>
      <c r="E242" s="245"/>
      <c r="F242" s="245"/>
      <c r="G242" s="245"/>
      <c r="H242" s="245"/>
    </row>
    <row r="243" spans="3:8" ht="12.75" customHeight="1" x14ac:dyDescent="0.2">
      <c r="C243" s="245"/>
      <c r="D243" s="245"/>
      <c r="E243" s="245"/>
      <c r="F243" s="245"/>
      <c r="G243" s="245"/>
      <c r="H243" s="245"/>
    </row>
    <row r="244" spans="3:8" ht="12.75" customHeight="1" x14ac:dyDescent="0.2">
      <c r="C244" s="245"/>
      <c r="D244" s="245"/>
      <c r="E244" s="245"/>
      <c r="F244" s="245"/>
      <c r="G244" s="245"/>
      <c r="H244" s="245"/>
    </row>
    <row r="245" spans="3:8" ht="12.75" customHeight="1" x14ac:dyDescent="0.2">
      <c r="C245" s="245"/>
      <c r="D245" s="245"/>
      <c r="E245" s="245"/>
      <c r="F245" s="245"/>
      <c r="G245" s="245"/>
      <c r="H245" s="245"/>
    </row>
    <row r="246" spans="3:8" ht="12.75" customHeight="1" x14ac:dyDescent="0.2">
      <c r="C246" s="245"/>
      <c r="D246" s="245"/>
      <c r="E246" s="245"/>
      <c r="F246" s="245"/>
      <c r="G246" s="245"/>
      <c r="H246" s="245"/>
    </row>
    <row r="247" spans="3:8" ht="12.75" customHeight="1" x14ac:dyDescent="0.2">
      <c r="C247" s="245"/>
      <c r="D247" s="245"/>
      <c r="E247" s="245"/>
      <c r="F247" s="245"/>
      <c r="G247" s="245"/>
      <c r="H247" s="245"/>
    </row>
    <row r="248" spans="3:8" ht="12.75" customHeight="1" x14ac:dyDescent="0.2">
      <c r="C248" s="245"/>
      <c r="D248" s="245"/>
      <c r="E248" s="245"/>
      <c r="F248" s="245"/>
      <c r="G248" s="245"/>
      <c r="H248" s="245"/>
    </row>
    <row r="249" spans="3:8" ht="12.75" customHeight="1" x14ac:dyDescent="0.2">
      <c r="C249" s="245"/>
      <c r="D249" s="245"/>
      <c r="E249" s="245"/>
      <c r="F249" s="245"/>
      <c r="G249" s="245"/>
      <c r="H249" s="245"/>
    </row>
    <row r="250" spans="3:8" ht="12.75" customHeight="1" x14ac:dyDescent="0.2">
      <c r="C250" s="245"/>
      <c r="D250" s="245"/>
      <c r="E250" s="245"/>
      <c r="F250" s="245"/>
      <c r="G250" s="245"/>
      <c r="H250" s="245"/>
    </row>
    <row r="251" spans="3:8" ht="12.75" customHeight="1" x14ac:dyDescent="0.2">
      <c r="C251" s="245"/>
      <c r="D251" s="245"/>
      <c r="E251" s="245"/>
      <c r="F251" s="245"/>
      <c r="G251" s="245"/>
      <c r="H251" s="245"/>
    </row>
    <row r="252" spans="3:8" ht="12.75" customHeight="1" x14ac:dyDescent="0.2">
      <c r="C252" s="245"/>
      <c r="D252" s="245"/>
      <c r="E252" s="245"/>
      <c r="F252" s="245"/>
      <c r="G252" s="245"/>
      <c r="H252" s="245"/>
    </row>
    <row r="253" spans="3:8" ht="12.75" customHeight="1" x14ac:dyDescent="0.2">
      <c r="C253" s="245"/>
      <c r="D253" s="245"/>
      <c r="E253" s="245"/>
      <c r="F253" s="245"/>
      <c r="G253" s="245"/>
      <c r="H253" s="245"/>
    </row>
    <row r="254" spans="3:8" ht="12.75" customHeight="1" x14ac:dyDescent="0.2">
      <c r="C254" s="245"/>
      <c r="D254" s="245"/>
      <c r="E254" s="245"/>
      <c r="F254" s="245"/>
      <c r="G254" s="245"/>
      <c r="H254" s="245"/>
    </row>
    <row r="255" spans="3:8" ht="12.75" customHeight="1" x14ac:dyDescent="0.2">
      <c r="C255" s="245"/>
      <c r="D255" s="245"/>
      <c r="E255" s="245"/>
      <c r="F255" s="245"/>
      <c r="G255" s="245"/>
      <c r="H255" s="245"/>
    </row>
    <row r="256" spans="3:8" ht="12.75" customHeight="1" x14ac:dyDescent="0.2">
      <c r="C256" s="245"/>
      <c r="D256" s="245"/>
      <c r="E256" s="245"/>
      <c r="F256" s="245"/>
      <c r="G256" s="245"/>
      <c r="H256" s="245"/>
    </row>
    <row r="257" spans="3:8" ht="12.75" customHeight="1" x14ac:dyDescent="0.2">
      <c r="C257" s="245"/>
      <c r="D257" s="245"/>
      <c r="E257" s="245"/>
      <c r="F257" s="245"/>
      <c r="G257" s="245"/>
      <c r="H257" s="245"/>
    </row>
    <row r="258" spans="3:8" ht="12.75" customHeight="1" x14ac:dyDescent="0.2">
      <c r="C258" s="245"/>
      <c r="D258" s="245"/>
      <c r="E258" s="245"/>
      <c r="F258" s="245"/>
      <c r="G258" s="245"/>
      <c r="H258" s="245"/>
    </row>
    <row r="259" spans="3:8" ht="12.75" customHeight="1" x14ac:dyDescent="0.2">
      <c r="C259" s="245"/>
      <c r="D259" s="245"/>
      <c r="E259" s="245"/>
      <c r="F259" s="245"/>
      <c r="G259" s="245"/>
      <c r="H259" s="245"/>
    </row>
    <row r="260" spans="3:8" ht="12.75" customHeight="1" x14ac:dyDescent="0.2">
      <c r="C260" s="245"/>
      <c r="D260" s="245"/>
      <c r="E260" s="245"/>
      <c r="F260" s="245"/>
      <c r="G260" s="245"/>
      <c r="H260" s="245"/>
    </row>
    <row r="261" spans="3:8" ht="12.75" customHeight="1" x14ac:dyDescent="0.2">
      <c r="C261" s="245"/>
      <c r="D261" s="245"/>
      <c r="E261" s="245"/>
      <c r="F261" s="245"/>
      <c r="G261" s="245"/>
      <c r="H261" s="245"/>
    </row>
    <row r="262" spans="3:8" ht="12.75" customHeight="1" x14ac:dyDescent="0.2">
      <c r="C262" s="245"/>
      <c r="D262" s="245"/>
      <c r="E262" s="245"/>
      <c r="F262" s="245"/>
      <c r="G262" s="245"/>
      <c r="H262" s="245"/>
    </row>
    <row r="263" spans="3:8" ht="12.75" customHeight="1" x14ac:dyDescent="0.2">
      <c r="C263" s="245"/>
      <c r="D263" s="245"/>
      <c r="E263" s="245"/>
      <c r="F263" s="245"/>
      <c r="G263" s="245"/>
      <c r="H263" s="245"/>
    </row>
    <row r="264" spans="3:8" ht="12.75" customHeight="1" x14ac:dyDescent="0.2">
      <c r="C264" s="245"/>
      <c r="D264" s="245"/>
      <c r="E264" s="245"/>
      <c r="F264" s="245"/>
      <c r="G264" s="245"/>
      <c r="H264" s="245"/>
    </row>
    <row r="265" spans="3:8" ht="12.75" customHeight="1" x14ac:dyDescent="0.2">
      <c r="C265" s="245"/>
      <c r="D265" s="245"/>
      <c r="E265" s="245"/>
      <c r="F265" s="245"/>
      <c r="G265" s="245"/>
      <c r="H265" s="245"/>
    </row>
    <row r="266" spans="3:8" ht="12.75" customHeight="1" x14ac:dyDescent="0.2">
      <c r="C266" s="245"/>
      <c r="D266" s="245"/>
      <c r="E266" s="245"/>
      <c r="F266" s="245"/>
      <c r="G266" s="245"/>
      <c r="H266" s="245"/>
    </row>
    <row r="267" spans="3:8" ht="12.75" customHeight="1" x14ac:dyDescent="0.2">
      <c r="C267" s="245"/>
      <c r="D267" s="245"/>
      <c r="E267" s="245"/>
      <c r="F267" s="245"/>
      <c r="G267" s="245"/>
      <c r="H267" s="245"/>
    </row>
    <row r="268" spans="3:8" ht="12.75" customHeight="1" x14ac:dyDescent="0.2">
      <c r="C268" s="245"/>
      <c r="D268" s="245"/>
      <c r="E268" s="245"/>
      <c r="F268" s="245"/>
      <c r="G268" s="245"/>
      <c r="H268" s="245"/>
    </row>
    <row r="269" spans="3:8" ht="12.75" customHeight="1" x14ac:dyDescent="0.2">
      <c r="C269" s="245"/>
      <c r="D269" s="245"/>
      <c r="E269" s="245"/>
      <c r="F269" s="245"/>
      <c r="G269" s="245"/>
      <c r="H269" s="245"/>
    </row>
    <row r="270" spans="3:8" ht="12.75" customHeight="1" x14ac:dyDescent="0.2">
      <c r="C270" s="245"/>
      <c r="D270" s="245"/>
      <c r="E270" s="245"/>
      <c r="F270" s="245"/>
      <c r="G270" s="245"/>
      <c r="H270" s="245"/>
    </row>
    <row r="271" spans="3:8" ht="12.75" customHeight="1" x14ac:dyDescent="0.2">
      <c r="C271" s="245"/>
      <c r="D271" s="245"/>
      <c r="E271" s="245"/>
      <c r="F271" s="245"/>
      <c r="G271" s="245"/>
      <c r="H271" s="245"/>
    </row>
    <row r="272" spans="3:8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2:I2"/>
  </mergeCells>
  <pageMargins left="0.7" right="0.7" top="0.75" bottom="0.75" header="0" footer="0"/>
  <pageSetup orientation="landscape"/>
  <headerFooter>
    <oddHeader>&amp;CPrestamo a Solicitar</oddHeader>
    <oddFooter>&amp;Rwww.emprenautas.com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00"/>
  <sheetViews>
    <sheetView workbookViewId="0"/>
  </sheetViews>
  <sheetFormatPr baseColWidth="10" defaultColWidth="12.5703125" defaultRowHeight="15" customHeight="1" x14ac:dyDescent="0.2"/>
  <cols>
    <col min="1" max="1" width="32.28515625" customWidth="1"/>
    <col min="2" max="26" width="10" customWidth="1"/>
  </cols>
  <sheetData>
    <row r="1" spans="1:6" ht="20.25" customHeight="1" x14ac:dyDescent="0.3">
      <c r="A1" s="6"/>
      <c r="D1" s="7" t="str">
        <f>Productos!G1</f>
        <v>Heladería DANG</v>
      </c>
    </row>
    <row r="2" spans="1:6" ht="13.5" customHeight="1" x14ac:dyDescent="0.2"/>
    <row r="3" spans="1:6" ht="13.5" customHeight="1" x14ac:dyDescent="0.2">
      <c r="A3" s="217"/>
      <c r="B3" s="13">
        <f>Ventas!C16</f>
        <v>2022</v>
      </c>
      <c r="C3" s="13">
        <f>Ventas!D16</f>
        <v>2023</v>
      </c>
      <c r="D3" s="13">
        <f>Ventas!E16</f>
        <v>2024</v>
      </c>
      <c r="E3" s="13">
        <f>Ventas!F16</f>
        <v>2025</v>
      </c>
      <c r="F3" s="155">
        <f>Ventas!G16</f>
        <v>2026</v>
      </c>
    </row>
    <row r="4" spans="1:6" ht="12.75" customHeight="1" x14ac:dyDescent="0.2">
      <c r="A4" s="17" t="s">
        <v>201</v>
      </c>
      <c r="B4" s="99">
        <f>+Ventas!C54</f>
        <v>3943025000</v>
      </c>
      <c r="C4" s="99">
        <f>+Ventas!D54</f>
        <v>2322559000</v>
      </c>
      <c r="D4" s="99">
        <f>+Ventas!E54</f>
        <v>2533254600</v>
      </c>
      <c r="E4" s="99">
        <f>+Ventas!F54</f>
        <v>2744342460</v>
      </c>
      <c r="F4" s="100">
        <f>+Ventas!G54</f>
        <v>2311477000</v>
      </c>
    </row>
    <row r="5" spans="1:6" ht="12.75" customHeight="1" x14ac:dyDescent="0.2">
      <c r="A5" s="248" t="s">
        <v>202</v>
      </c>
      <c r="B5" s="249">
        <f>Gastos!C18-Produccion!F100</f>
        <v>2970590160</v>
      </c>
      <c r="C5" s="249">
        <f>Ventas!D68</f>
        <v>1771444166</v>
      </c>
      <c r="D5" s="249">
        <f>Ventas!E68</f>
        <v>1933129537.5999999</v>
      </c>
      <c r="E5" s="249">
        <f>Ventas!F68</f>
        <v>2103059068.8600001</v>
      </c>
      <c r="F5" s="250">
        <f>Ventas!G68</f>
        <v>1758398016</v>
      </c>
    </row>
    <row r="6" spans="1:6" ht="12.75" customHeight="1" x14ac:dyDescent="0.2">
      <c r="A6" s="251" t="s">
        <v>203</v>
      </c>
      <c r="B6" s="252">
        <f t="shared" ref="B6:F6" si="0">+B4-B5</f>
        <v>972434840</v>
      </c>
      <c r="C6" s="252">
        <f t="shared" si="0"/>
        <v>551114834</v>
      </c>
      <c r="D6" s="252">
        <f t="shared" si="0"/>
        <v>600125062.4000001</v>
      </c>
      <c r="E6" s="252">
        <f t="shared" si="0"/>
        <v>641283391.13999987</v>
      </c>
      <c r="F6" s="253">
        <f t="shared" si="0"/>
        <v>553078984</v>
      </c>
    </row>
    <row r="7" spans="1:6" ht="12.75" customHeight="1" x14ac:dyDescent="0.2">
      <c r="A7" s="17"/>
      <c r="B7" s="99"/>
      <c r="C7" s="99"/>
      <c r="D7" s="99"/>
      <c r="E7" s="99"/>
      <c r="F7" s="100"/>
    </row>
    <row r="8" spans="1:6" ht="12.75" customHeight="1" x14ac:dyDescent="0.2">
      <c r="A8" s="17" t="s">
        <v>204</v>
      </c>
      <c r="B8" s="99">
        <f>SUM(Gastos!C19:C27)</f>
        <v>110687000</v>
      </c>
      <c r="C8" s="99">
        <f>SUM(Gastos!D19:D27)</f>
        <v>113200000</v>
      </c>
      <c r="D8" s="99">
        <f>SUM(Gastos!E19:E27)</f>
        <v>118045000</v>
      </c>
      <c r="E8" s="99">
        <f>SUM(Gastos!F19:F27)</f>
        <v>124125000</v>
      </c>
      <c r="F8" s="100">
        <f>SUM(Gastos!G19:G27)</f>
        <v>130380000</v>
      </c>
    </row>
    <row r="9" spans="1:6" ht="12.75" customHeight="1" x14ac:dyDescent="0.2">
      <c r="A9" s="17" t="str">
        <f>Gastos!B31</f>
        <v>Sueldos de Administración</v>
      </c>
      <c r="B9" s="99">
        <f>+Gastos!C45</f>
        <v>18000000</v>
      </c>
      <c r="C9" s="99">
        <f>+Gastos!D45</f>
        <v>18000000</v>
      </c>
      <c r="D9" s="99">
        <f>+Gastos!E45</f>
        <v>18000000</v>
      </c>
      <c r="E9" s="99">
        <f>+Gastos!F45</f>
        <v>18000000</v>
      </c>
      <c r="F9" s="100">
        <f>+Gastos!G45</f>
        <v>18000000</v>
      </c>
    </row>
    <row r="10" spans="1:6" ht="12.75" customHeight="1" x14ac:dyDescent="0.2">
      <c r="A10" s="17" t="str">
        <f>Gastos!B32</f>
        <v>Sueldos Comerciales</v>
      </c>
      <c r="B10" s="99">
        <f>+Gastos!C46</f>
        <v>2400000</v>
      </c>
      <c r="C10" s="99">
        <f>+Gastos!D46</f>
        <v>2400000</v>
      </c>
      <c r="D10" s="99">
        <f>+Gastos!E46</f>
        <v>2400000</v>
      </c>
      <c r="E10" s="99">
        <f>+Gastos!F46</f>
        <v>2400000</v>
      </c>
      <c r="F10" s="100">
        <f>+Gastos!G46</f>
        <v>2400000</v>
      </c>
    </row>
    <row r="11" spans="1:6" ht="12.75" customHeight="1" x14ac:dyDescent="0.2">
      <c r="A11" s="17" t="str">
        <f>Gastos!B33</f>
        <v>Cargas Sociales</v>
      </c>
      <c r="B11" s="99">
        <f>+Gastos!C47</f>
        <v>4080000</v>
      </c>
      <c r="C11" s="99">
        <f>+Gastos!D47</f>
        <v>4080000</v>
      </c>
      <c r="D11" s="99">
        <f>+Gastos!E47</f>
        <v>4080000</v>
      </c>
      <c r="E11" s="99">
        <f>+Gastos!F47</f>
        <v>4080000</v>
      </c>
      <c r="F11" s="100">
        <f>+Gastos!G47</f>
        <v>4080000</v>
      </c>
    </row>
    <row r="12" spans="1:6" ht="12.75" customHeight="1" x14ac:dyDescent="0.2">
      <c r="A12" s="17" t="str">
        <f>Gastos!B34</f>
        <v>Publicidad</v>
      </c>
      <c r="B12" s="99">
        <f>+Gastos!C48</f>
        <v>540000</v>
      </c>
      <c r="C12" s="99">
        <f>+Gastos!D48</f>
        <v>540000</v>
      </c>
      <c r="D12" s="99">
        <f>+Gastos!E48</f>
        <v>540000</v>
      </c>
      <c r="E12" s="99">
        <f>+Gastos!F48</f>
        <v>540000</v>
      </c>
      <c r="F12" s="100">
        <f>+Gastos!G48</f>
        <v>540000</v>
      </c>
    </row>
    <row r="13" spans="1:6" ht="12.75" customHeight="1" x14ac:dyDescent="0.2">
      <c r="A13" s="17" t="str">
        <f>Gastos!B35</f>
        <v>Fletes</v>
      </c>
      <c r="B13" s="99">
        <f>+Gastos!C49</f>
        <v>1800000</v>
      </c>
      <c r="C13" s="99">
        <f>+Gastos!D49</f>
        <v>1800000</v>
      </c>
      <c r="D13" s="99">
        <f>+Gastos!E49</f>
        <v>1800000</v>
      </c>
      <c r="E13" s="99">
        <f>+Gastos!F49</f>
        <v>1800000</v>
      </c>
      <c r="F13" s="100">
        <f>+Gastos!G49</f>
        <v>1800000</v>
      </c>
    </row>
    <row r="14" spans="1:6" ht="12.75" customHeight="1" x14ac:dyDescent="0.2">
      <c r="A14" s="17" t="str">
        <f>Gastos!B36</f>
        <v>Impuestos y tasas</v>
      </c>
      <c r="B14" s="99">
        <f>+Gastos!C50</f>
        <v>51713118</v>
      </c>
      <c r="C14" s="99">
        <f>+Gastos!D50</f>
        <v>51713118</v>
      </c>
      <c r="D14" s="99">
        <f>+Gastos!E50</f>
        <v>51713118</v>
      </c>
      <c r="E14" s="99">
        <f>+Gastos!F50</f>
        <v>51713118</v>
      </c>
      <c r="F14" s="100">
        <f>+Gastos!G50</f>
        <v>51713118</v>
      </c>
    </row>
    <row r="15" spans="1:6" ht="12.75" customHeight="1" x14ac:dyDescent="0.2">
      <c r="A15" s="17" t="str">
        <f>Gastos!B37</f>
        <v>Varios</v>
      </c>
      <c r="B15" s="99">
        <f>+Gastos!C51</f>
        <v>2400000</v>
      </c>
      <c r="C15" s="99">
        <f>+Gastos!D51</f>
        <v>2400000</v>
      </c>
      <c r="D15" s="99">
        <f>+Gastos!E51</f>
        <v>2400000</v>
      </c>
      <c r="E15" s="99">
        <f>+Gastos!F51</f>
        <v>2400000</v>
      </c>
      <c r="F15" s="100">
        <f>+Gastos!G51</f>
        <v>2400000</v>
      </c>
    </row>
    <row r="16" spans="1:6" ht="12.75" customHeight="1" x14ac:dyDescent="0.2">
      <c r="A16" s="17" t="str">
        <f>Gastos!B38</f>
        <v xml:space="preserve"> </v>
      </c>
      <c r="B16" s="99">
        <f>+Gastos!C52</f>
        <v>0</v>
      </c>
      <c r="C16" s="99">
        <f>+Gastos!D52</f>
        <v>0</v>
      </c>
      <c r="D16" s="99">
        <f>+Gastos!E52</f>
        <v>0</v>
      </c>
      <c r="E16" s="99">
        <f>+Gastos!F52</f>
        <v>0</v>
      </c>
      <c r="F16" s="100">
        <f>+Gastos!G52</f>
        <v>0</v>
      </c>
    </row>
    <row r="17" spans="1:6" ht="12.75" customHeight="1" x14ac:dyDescent="0.2">
      <c r="A17" s="17" t="str">
        <f>Gastos!B39</f>
        <v xml:space="preserve"> </v>
      </c>
      <c r="B17" s="99">
        <f>+Gastos!C53</f>
        <v>0</v>
      </c>
      <c r="C17" s="99">
        <f>+Gastos!D53</f>
        <v>0</v>
      </c>
      <c r="D17" s="99">
        <f>+Gastos!E53</f>
        <v>0</v>
      </c>
      <c r="E17" s="99">
        <f>+Gastos!F53</f>
        <v>0</v>
      </c>
      <c r="F17" s="100">
        <f>+Gastos!G53</f>
        <v>0</v>
      </c>
    </row>
    <row r="18" spans="1:6" ht="12.75" customHeight="1" x14ac:dyDescent="0.2">
      <c r="A18" s="248" t="str">
        <f>Gastos!B40</f>
        <v xml:space="preserve"> </v>
      </c>
      <c r="B18" s="249">
        <f>+Gastos!C54</f>
        <v>0</v>
      </c>
      <c r="C18" s="249">
        <f>+Gastos!D54</f>
        <v>0</v>
      </c>
      <c r="D18" s="249">
        <f>+Gastos!E54</f>
        <v>0</v>
      </c>
      <c r="E18" s="249">
        <f>+Gastos!F54</f>
        <v>0</v>
      </c>
      <c r="F18" s="250">
        <f>+Gastos!G54</f>
        <v>0</v>
      </c>
    </row>
    <row r="19" spans="1:6" ht="12.75" customHeight="1" x14ac:dyDescent="0.2">
      <c r="A19" s="254" t="str">
        <f>Gastos!B41</f>
        <v>Total Otros Gastos</v>
      </c>
      <c r="B19" s="99">
        <f t="shared" ref="B19:F19" si="1">SUM(B8:B18)</f>
        <v>191620118</v>
      </c>
      <c r="C19" s="99">
        <f t="shared" si="1"/>
        <v>194133118</v>
      </c>
      <c r="D19" s="99">
        <f t="shared" si="1"/>
        <v>198978118</v>
      </c>
      <c r="E19" s="99">
        <f t="shared" si="1"/>
        <v>205058118</v>
      </c>
      <c r="F19" s="100">
        <f t="shared" si="1"/>
        <v>211313118</v>
      </c>
    </row>
    <row r="20" spans="1:6" ht="12.75" customHeight="1" x14ac:dyDescent="0.2">
      <c r="A20" s="17"/>
      <c r="B20" s="99"/>
      <c r="C20" s="99"/>
      <c r="D20" s="99"/>
      <c r="E20" s="99"/>
      <c r="F20" s="100"/>
    </row>
    <row r="21" spans="1:6" ht="12.75" customHeight="1" x14ac:dyDescent="0.2">
      <c r="A21" s="255" t="s">
        <v>205</v>
      </c>
      <c r="B21" s="256">
        <f t="shared" ref="B21:F21" si="2">+B6-B19</f>
        <v>780814722</v>
      </c>
      <c r="C21" s="256">
        <f t="shared" si="2"/>
        <v>356981716</v>
      </c>
      <c r="D21" s="256">
        <f t="shared" si="2"/>
        <v>401146944.4000001</v>
      </c>
      <c r="E21" s="256">
        <f t="shared" si="2"/>
        <v>436225273.13999987</v>
      </c>
      <c r="F21" s="257">
        <f t="shared" si="2"/>
        <v>341765866</v>
      </c>
    </row>
    <row r="22" spans="1:6" ht="12.75" customHeight="1" x14ac:dyDescent="0.2">
      <c r="A22" s="258" t="s">
        <v>206</v>
      </c>
      <c r="B22" s="259"/>
      <c r="C22" s="259"/>
      <c r="D22" s="259"/>
      <c r="E22" s="259"/>
      <c r="F22" s="260"/>
    </row>
    <row r="23" spans="1:6" ht="12.75" customHeight="1" x14ac:dyDescent="0.2">
      <c r="A23" s="17"/>
      <c r="B23" s="99"/>
      <c r="C23" s="99"/>
      <c r="D23" s="99"/>
      <c r="E23" s="99"/>
      <c r="F23" s="100"/>
    </row>
    <row r="24" spans="1:6" ht="12.75" customHeight="1" x14ac:dyDescent="0.2">
      <c r="A24" s="17" t="s">
        <v>194</v>
      </c>
      <c r="B24" s="99">
        <f>+PRESTAMO!K20</f>
        <v>853333.1400216053</v>
      </c>
      <c r="C24" s="99">
        <f>+PRESTAMO!K32</f>
        <v>646128.94603710272</v>
      </c>
      <c r="D24" s="99">
        <f>+PRESTAMO!K44</f>
        <v>259406.03473557925</v>
      </c>
      <c r="E24" s="99">
        <f>+PRESTAMO!K56</f>
        <v>2975.4525707621692</v>
      </c>
      <c r="F24" s="100">
        <f>+PRESTAMO!K68</f>
        <v>3.4937041973778495E-10</v>
      </c>
    </row>
    <row r="25" spans="1:6" ht="13.5" customHeight="1" x14ac:dyDescent="0.2">
      <c r="A25" s="261"/>
      <c r="B25" s="149"/>
      <c r="C25" s="149"/>
      <c r="D25" s="149"/>
      <c r="E25" s="149"/>
      <c r="F25" s="262"/>
    </row>
    <row r="26" spans="1:6" ht="13.5" customHeight="1" x14ac:dyDescent="0.2">
      <c r="A26" s="263" t="s">
        <v>207</v>
      </c>
      <c r="B26" s="264">
        <f t="shared" ref="B26:F26" si="3">+B21-B24</f>
        <v>779961388.85997844</v>
      </c>
      <c r="C26" s="264">
        <f t="shared" si="3"/>
        <v>356335587.05396289</v>
      </c>
      <c r="D26" s="264">
        <f t="shared" si="3"/>
        <v>400887538.36526453</v>
      </c>
      <c r="E26" s="264">
        <f t="shared" si="3"/>
        <v>436222297.68742913</v>
      </c>
      <c r="F26" s="265">
        <f t="shared" si="3"/>
        <v>341765866</v>
      </c>
    </row>
    <row r="27" spans="1:6" ht="12.75" customHeight="1" x14ac:dyDescent="0.2">
      <c r="A27" s="17"/>
      <c r="B27" s="99"/>
      <c r="C27" s="99"/>
      <c r="D27" s="99"/>
      <c r="E27" s="99"/>
      <c r="F27" s="100"/>
    </row>
    <row r="28" spans="1:6" ht="12.75" customHeight="1" x14ac:dyDescent="0.2">
      <c r="A28" s="17" t="s">
        <v>208</v>
      </c>
      <c r="B28" s="99">
        <f t="shared" ref="B28:F28" si="4">IF(B26&gt;0,B26*$B$32,0)</f>
        <v>241788030.54659331</v>
      </c>
      <c r="C28" s="99">
        <f t="shared" si="4"/>
        <v>110464031.98672849</v>
      </c>
      <c r="D28" s="99">
        <f t="shared" si="4"/>
        <v>124275136.893232</v>
      </c>
      <c r="E28" s="99">
        <f t="shared" si="4"/>
        <v>135228912.28310302</v>
      </c>
      <c r="F28" s="100">
        <f t="shared" si="4"/>
        <v>105947418.45999999</v>
      </c>
    </row>
    <row r="29" spans="1:6" ht="13.5" customHeight="1" x14ac:dyDescent="0.2">
      <c r="A29" s="17"/>
      <c r="B29" s="18"/>
      <c r="C29" s="18"/>
      <c r="D29" s="18"/>
      <c r="E29" s="18"/>
      <c r="F29" s="109"/>
    </row>
    <row r="30" spans="1:6" ht="14.25" customHeight="1" x14ac:dyDescent="0.2">
      <c r="A30" s="266" t="s">
        <v>209</v>
      </c>
      <c r="B30" s="267">
        <f t="shared" ref="B30:F30" si="5">B26-B28</f>
        <v>538173358.31338513</v>
      </c>
      <c r="C30" s="267">
        <f t="shared" si="5"/>
        <v>245871555.0672344</v>
      </c>
      <c r="D30" s="267">
        <f t="shared" si="5"/>
        <v>276612401.47203255</v>
      </c>
      <c r="E30" s="267">
        <f t="shared" si="5"/>
        <v>300993385.40432608</v>
      </c>
      <c r="F30" s="268">
        <f t="shared" si="5"/>
        <v>235818447.54000002</v>
      </c>
    </row>
    <row r="31" spans="1:6" ht="12.75" customHeight="1" x14ac:dyDescent="0.2"/>
    <row r="32" spans="1:6" ht="12.75" customHeight="1" x14ac:dyDescent="0.2">
      <c r="A32" s="8" t="s">
        <v>210</v>
      </c>
      <c r="B32" s="269">
        <v>0.31</v>
      </c>
    </row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&amp;CCuadro de Resultados Proyectado</oddHeader>
    <oddFooter>&amp;Rwww.emprenautas.com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000"/>
  <sheetViews>
    <sheetView workbookViewId="0"/>
  </sheetViews>
  <sheetFormatPr baseColWidth="10" defaultColWidth="12.5703125" defaultRowHeight="15" customHeight="1" x14ac:dyDescent="0.2"/>
  <cols>
    <col min="1" max="1" width="23.140625" customWidth="1"/>
    <col min="2" max="2" width="16.42578125" customWidth="1"/>
    <col min="3" max="26" width="10" customWidth="1"/>
  </cols>
  <sheetData>
    <row r="1" spans="1:6" ht="20.25" customHeight="1" x14ac:dyDescent="0.3">
      <c r="A1" s="6"/>
      <c r="F1" s="7" t="str">
        <f>Productos!G1</f>
        <v>Heladería DANG</v>
      </c>
    </row>
    <row r="2" spans="1:6" ht="12.75" customHeight="1" x14ac:dyDescent="0.2"/>
    <row r="3" spans="1:6" ht="16.5" customHeight="1" x14ac:dyDescent="0.25">
      <c r="A3" s="270" t="s">
        <v>211</v>
      </c>
      <c r="B3" s="271">
        <f t="shared" ref="B3:B4" si="0">+B41</f>
        <v>11433.987930329142</v>
      </c>
    </row>
    <row r="4" spans="1:6" ht="16.5" customHeight="1" x14ac:dyDescent="0.25">
      <c r="A4" s="270" t="s">
        <v>212</v>
      </c>
      <c r="B4" s="272">
        <f t="shared" si="0"/>
        <v>341924843.6463241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/>
    <row r="12" spans="1:6" ht="12.75" customHeight="1" x14ac:dyDescent="0.2"/>
    <row r="13" spans="1:6" ht="12.75" customHeight="1" x14ac:dyDescent="0.2"/>
    <row r="14" spans="1:6" ht="12.75" customHeight="1" x14ac:dyDescent="0.2"/>
    <row r="15" spans="1:6" ht="12.75" customHeight="1" x14ac:dyDescent="0.2"/>
    <row r="16" spans="1: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spans="1:5" ht="12.75" customHeight="1" x14ac:dyDescent="0.2"/>
    <row r="34" spans="1:5" ht="12.75" customHeight="1" x14ac:dyDescent="0.2"/>
    <row r="35" spans="1:5" ht="12.75" customHeight="1" x14ac:dyDescent="0.2"/>
    <row r="36" spans="1:5" ht="12.75" customHeight="1" x14ac:dyDescent="0.2">
      <c r="A36" s="35" t="s">
        <v>213</v>
      </c>
      <c r="B36" s="35">
        <f>Ventas!C54/SUM(Ventas!C17:C26)</f>
        <v>29904.250881650296</v>
      </c>
    </row>
    <row r="37" spans="1:5" ht="12.75" customHeight="1" x14ac:dyDescent="0.2">
      <c r="A37" s="35" t="s">
        <v>214</v>
      </c>
      <c r="B37" s="35">
        <f>Gastos!C18/SUM(Ventas!C17:C26)</f>
        <v>13070.802017367563</v>
      </c>
    </row>
    <row r="38" spans="1:5" ht="12.75" customHeight="1" x14ac:dyDescent="0.2">
      <c r="A38" s="35" t="s">
        <v>215</v>
      </c>
      <c r="B38" s="35">
        <f>+B36-B37</f>
        <v>16833.448864282735</v>
      </c>
    </row>
    <row r="39" spans="1:5" ht="12.75" customHeight="1" x14ac:dyDescent="0.2">
      <c r="A39" s="35" t="s">
        <v>216</v>
      </c>
      <c r="B39" s="131">
        <f>Gastos!C28-Gastos!C18+Gastos!C55+Resultado!B24</f>
        <v>192473451.14002159</v>
      </c>
    </row>
    <row r="40" spans="1:5" ht="12.75" customHeight="1" x14ac:dyDescent="0.2"/>
    <row r="41" spans="1:5" ht="12.75" customHeight="1" x14ac:dyDescent="0.2">
      <c r="A41" s="35" t="s">
        <v>211</v>
      </c>
      <c r="B41" s="131">
        <f>+B39/B38</f>
        <v>11433.987930329142</v>
      </c>
    </row>
    <row r="42" spans="1:5" ht="12.75" customHeight="1" x14ac:dyDescent="0.2">
      <c r="A42" s="35" t="s">
        <v>212</v>
      </c>
      <c r="B42" s="231">
        <f>+B41*B36</f>
        <v>341924843.6463241</v>
      </c>
    </row>
    <row r="43" spans="1:5" ht="12.75" customHeight="1" x14ac:dyDescent="0.2"/>
    <row r="44" spans="1:5" ht="12.75" customHeight="1" x14ac:dyDescent="0.2"/>
    <row r="45" spans="1:5" ht="12.75" customHeight="1" x14ac:dyDescent="0.2">
      <c r="A45" s="127" t="s">
        <v>121</v>
      </c>
      <c r="B45" s="273">
        <v>0</v>
      </c>
      <c r="C45" s="273">
        <f>+D45*0.5</f>
        <v>5716.9939651645709</v>
      </c>
      <c r="D45" s="273">
        <f>+B41</f>
        <v>11433.987930329142</v>
      </c>
      <c r="E45" s="273">
        <f>+D45*1.5</f>
        <v>17150.981895493715</v>
      </c>
    </row>
    <row r="46" spans="1:5" ht="12.75" customHeight="1" x14ac:dyDescent="0.2">
      <c r="A46" s="35" t="s">
        <v>201</v>
      </c>
      <c r="B46" s="131">
        <f t="shared" ref="B46:E46" si="1">+B45*$B$36</f>
        <v>0</v>
      </c>
      <c r="C46" s="131">
        <f t="shared" si="1"/>
        <v>170962421.82316205</v>
      </c>
      <c r="D46" s="131">
        <f t="shared" si="1"/>
        <v>341924843.6463241</v>
      </c>
      <c r="E46" s="131">
        <f t="shared" si="1"/>
        <v>512887265.46948618</v>
      </c>
    </row>
    <row r="47" spans="1:5" ht="12.75" customHeight="1" x14ac:dyDescent="0.2">
      <c r="A47" s="35" t="s">
        <v>217</v>
      </c>
      <c r="B47" s="131">
        <f t="shared" ref="B47:E47" si="2">+$B$39+B45*$B$37</f>
        <v>192473451.14002159</v>
      </c>
      <c r="C47" s="131">
        <f t="shared" si="2"/>
        <v>267199147.39317286</v>
      </c>
      <c r="D47" s="131">
        <f t="shared" si="2"/>
        <v>341924843.6463241</v>
      </c>
      <c r="E47" s="131">
        <f t="shared" si="2"/>
        <v>416650539.8994754</v>
      </c>
    </row>
    <row r="48" spans="1:5" ht="12.75" customHeight="1" x14ac:dyDescent="0.2">
      <c r="A48" s="35" t="s">
        <v>216</v>
      </c>
      <c r="B48" s="131">
        <f>+B39</f>
        <v>192473451.14002159</v>
      </c>
      <c r="C48" s="131">
        <f t="shared" ref="C48:E48" si="3">+B48</f>
        <v>192473451.14002159</v>
      </c>
      <c r="D48" s="131">
        <f t="shared" si="3"/>
        <v>192473451.14002159</v>
      </c>
      <c r="E48" s="131">
        <f t="shared" si="3"/>
        <v>192473451.14002159</v>
      </c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&amp;CPunto de Equilibrio Económico Primer Año</oddHeader>
    <oddFooter>&amp;Rwww.emprenautas.com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1000"/>
  <sheetViews>
    <sheetView workbookViewId="0"/>
  </sheetViews>
  <sheetFormatPr baseColWidth="10" defaultColWidth="12.5703125" defaultRowHeight="15" customHeight="1" x14ac:dyDescent="0.2"/>
  <cols>
    <col min="1" max="1" width="30.28515625" customWidth="1"/>
    <col min="2" max="2" width="10.5703125" customWidth="1"/>
    <col min="3" max="3" width="12.7109375" customWidth="1"/>
    <col min="4" max="4" width="11.28515625" customWidth="1"/>
    <col min="5" max="5" width="12.7109375" customWidth="1"/>
    <col min="6" max="6" width="11.140625" customWidth="1"/>
    <col min="7" max="7" width="12.140625" customWidth="1"/>
    <col min="8" max="8" width="11.28515625" customWidth="1"/>
    <col min="9" max="9" width="10.85546875" customWidth="1"/>
    <col min="10" max="10" width="12.140625" customWidth="1"/>
    <col min="11" max="11" width="11.42578125" customWidth="1"/>
    <col min="12" max="12" width="12.28515625" customWidth="1"/>
    <col min="13" max="13" width="11.85546875" customWidth="1"/>
    <col min="14" max="14" width="13.85546875" customWidth="1"/>
    <col min="15" max="26" width="10" customWidth="1"/>
  </cols>
  <sheetData>
    <row r="1" spans="1:14" ht="20.25" customHeight="1" x14ac:dyDescent="0.3">
      <c r="A1" s="6"/>
      <c r="K1" s="7" t="str">
        <f>Productos!G1</f>
        <v>Heladería DANG</v>
      </c>
    </row>
    <row r="2" spans="1:14" ht="13.5" customHeight="1" x14ac:dyDescent="0.2"/>
    <row r="3" spans="1:14" ht="13.5" customHeight="1" x14ac:dyDescent="0.2">
      <c r="A3" s="13" t="s">
        <v>218</v>
      </c>
      <c r="B3" s="14" t="str">
        <f>Ventas!C3</f>
        <v>Enero</v>
      </c>
      <c r="C3" s="14" t="str">
        <f>Ventas!D3</f>
        <v>Febrero</v>
      </c>
      <c r="D3" s="14" t="str">
        <f>Ventas!E3</f>
        <v>Marzo</v>
      </c>
      <c r="E3" s="14" t="str">
        <f>Ventas!F3</f>
        <v>Abril</v>
      </c>
      <c r="F3" s="14" t="str">
        <f>Ventas!G3</f>
        <v>Mayo</v>
      </c>
      <c r="G3" s="14" t="str">
        <f>Ventas!H3</f>
        <v>Junio</v>
      </c>
      <c r="H3" s="14" t="str">
        <f>Ventas!I3</f>
        <v>Julio</v>
      </c>
      <c r="I3" s="14" t="str">
        <f>Ventas!J3</f>
        <v>Agosto</v>
      </c>
      <c r="J3" s="14" t="str">
        <f>Ventas!K3</f>
        <v>Sept.</v>
      </c>
      <c r="K3" s="14" t="str">
        <f>Ventas!L3</f>
        <v>Oct.</v>
      </c>
      <c r="L3" s="14" t="str">
        <f>Ventas!M3</f>
        <v>Nov.</v>
      </c>
      <c r="M3" s="14" t="str">
        <f>Ventas!N3</f>
        <v>Dic.</v>
      </c>
      <c r="N3" s="155" t="s">
        <v>99</v>
      </c>
    </row>
    <row r="4" spans="1:14" ht="12.75" customHeight="1" x14ac:dyDescent="0.2">
      <c r="A4" s="35" t="s">
        <v>219</v>
      </c>
      <c r="B4" s="131">
        <f>+Cobranzas!C15</f>
        <v>67789800</v>
      </c>
      <c r="C4" s="131">
        <f>+Cobranzas!D15</f>
        <v>171678500</v>
      </c>
      <c r="D4" s="131">
        <f>+Cobranzas!E15</f>
        <v>334785000</v>
      </c>
      <c r="E4" s="131">
        <f>+Cobranzas!F15</f>
        <v>334332600</v>
      </c>
      <c r="F4" s="131">
        <f>+Cobranzas!G15</f>
        <v>322539900</v>
      </c>
      <c r="G4" s="131">
        <f>+Cobranzas!H15</f>
        <v>341400700</v>
      </c>
      <c r="H4" s="131">
        <f>+Cobranzas!I15</f>
        <v>338162200</v>
      </c>
      <c r="I4" s="131">
        <f>+Cobranzas!J15</f>
        <v>329705000</v>
      </c>
      <c r="J4" s="131">
        <f>+Cobranzas!K15</f>
        <v>325947000</v>
      </c>
      <c r="K4" s="131">
        <f>+Cobranzas!L15</f>
        <v>318959200</v>
      </c>
      <c r="L4" s="131">
        <f>+Cobranzas!M15</f>
        <v>320259500</v>
      </c>
      <c r="M4" s="131">
        <f>+Cobranzas!N15</f>
        <v>322393100</v>
      </c>
      <c r="N4" s="131">
        <f>SUM(B4:M4)</f>
        <v>3527952500</v>
      </c>
    </row>
    <row r="5" spans="1:14" ht="12.75" customHeight="1" x14ac:dyDescent="0.2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ht="12.75" customHeight="1" x14ac:dyDescent="0.2">
      <c r="A6" s="35" t="s">
        <v>220</v>
      </c>
      <c r="B6" s="131">
        <f>+Pagos!C15</f>
        <v>0</v>
      </c>
      <c r="C6" s="131">
        <f>+Pagos!D15</f>
        <v>166000000</v>
      </c>
      <c r="D6" s="131">
        <f>+Pagos!E15</f>
        <v>232750000</v>
      </c>
      <c r="E6" s="131">
        <f>+Pagos!F15</f>
        <v>269750000</v>
      </c>
      <c r="F6" s="131">
        <f>+Pagos!G15</f>
        <v>242250000</v>
      </c>
      <c r="G6" s="131">
        <f>+Pagos!H15</f>
        <v>60250000</v>
      </c>
      <c r="H6" s="131">
        <f>+Pagos!I15</f>
        <v>53800000</v>
      </c>
      <c r="I6" s="131">
        <f>+Pagos!J15</f>
        <v>48500000</v>
      </c>
      <c r="J6" s="131">
        <f>+Pagos!K15</f>
        <v>44900000</v>
      </c>
      <c r="K6" s="131">
        <f>+Pagos!L15</f>
        <v>61500000</v>
      </c>
      <c r="L6" s="131">
        <f>+Pagos!M15</f>
        <v>87550000</v>
      </c>
      <c r="M6" s="131">
        <f>+Pagos!N15</f>
        <v>178000000</v>
      </c>
      <c r="N6" s="131">
        <f>SUM(B6:M6)</f>
        <v>1445250000</v>
      </c>
    </row>
    <row r="7" spans="1:14" ht="12.75" customHeight="1" x14ac:dyDescent="0.2"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</row>
    <row r="8" spans="1:14" ht="12.75" customHeight="1" x14ac:dyDescent="0.2">
      <c r="A8" s="274" t="s">
        <v>221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</row>
    <row r="9" spans="1:14" ht="12.75" customHeight="1" x14ac:dyDescent="0.2">
      <c r="A9" s="275" t="s">
        <v>222</v>
      </c>
      <c r="B9" s="131"/>
      <c r="C9" s="131">
        <f>+Gastos!C5</f>
        <v>7000000</v>
      </c>
      <c r="D9" s="131">
        <f>+Gastos!D5</f>
        <v>7000000</v>
      </c>
      <c r="E9" s="131">
        <f>+Gastos!E5</f>
        <v>7000000</v>
      </c>
      <c r="F9" s="131">
        <f>+Gastos!F5</f>
        <v>7000000</v>
      </c>
      <c r="G9" s="131">
        <f>+Gastos!G5</f>
        <v>7000000</v>
      </c>
      <c r="H9" s="131">
        <f>+Gastos!H5</f>
        <v>7000000</v>
      </c>
      <c r="I9" s="131">
        <f>+Gastos!I5</f>
        <v>7000000</v>
      </c>
      <c r="J9" s="131">
        <f>+Gastos!J5</f>
        <v>7000000</v>
      </c>
      <c r="K9" s="131">
        <f>+Gastos!K5</f>
        <v>7000000</v>
      </c>
      <c r="L9" s="131">
        <f>+Gastos!L5</f>
        <v>7000000</v>
      </c>
      <c r="M9" s="131">
        <f>+Gastos!M5</f>
        <v>7000000</v>
      </c>
      <c r="N9" s="131">
        <f t="shared" ref="N9:N14" si="0">SUM(B9:M9)</f>
        <v>77000000</v>
      </c>
    </row>
    <row r="10" spans="1:14" ht="12.75" customHeight="1" x14ac:dyDescent="0.2">
      <c r="A10" s="275" t="s">
        <v>223</v>
      </c>
      <c r="B10" s="131"/>
      <c r="C10" s="131">
        <f>+Gastos!C31</f>
        <v>1500000</v>
      </c>
      <c r="D10" s="131">
        <f>+Gastos!D31</f>
        <v>1500000</v>
      </c>
      <c r="E10" s="131">
        <f>+Gastos!E31</f>
        <v>1500000</v>
      </c>
      <c r="F10" s="131">
        <f>+Gastos!F31</f>
        <v>1500000</v>
      </c>
      <c r="G10" s="131">
        <f>+Gastos!G31</f>
        <v>1500000</v>
      </c>
      <c r="H10" s="131">
        <f>+Gastos!H31</f>
        <v>1500000</v>
      </c>
      <c r="I10" s="131">
        <f>+Gastos!I31</f>
        <v>1500000</v>
      </c>
      <c r="J10" s="131">
        <f>+Gastos!J31</f>
        <v>1500000</v>
      </c>
      <c r="K10" s="131">
        <f>+Gastos!K31</f>
        <v>1500000</v>
      </c>
      <c r="L10" s="131">
        <f>+Gastos!L31</f>
        <v>1500000</v>
      </c>
      <c r="M10" s="131">
        <f>+Gastos!M31</f>
        <v>1500000</v>
      </c>
      <c r="N10" s="131">
        <f t="shared" si="0"/>
        <v>16500000</v>
      </c>
    </row>
    <row r="11" spans="1:14" ht="12.75" customHeight="1" x14ac:dyDescent="0.2">
      <c r="A11" s="275" t="s">
        <v>224</v>
      </c>
      <c r="B11" s="131"/>
      <c r="C11" s="131">
        <f>+Gastos!C32</f>
        <v>200000</v>
      </c>
      <c r="D11" s="131">
        <f>+Gastos!D32</f>
        <v>200000</v>
      </c>
      <c r="E11" s="131">
        <f>+Gastos!E32</f>
        <v>200000</v>
      </c>
      <c r="F11" s="131">
        <f>+Gastos!F32</f>
        <v>200000</v>
      </c>
      <c r="G11" s="131">
        <f>+Gastos!G32</f>
        <v>200000</v>
      </c>
      <c r="H11" s="131">
        <f>+Gastos!H32</f>
        <v>200000</v>
      </c>
      <c r="I11" s="131">
        <f>+Gastos!I32</f>
        <v>200000</v>
      </c>
      <c r="J11" s="131">
        <f>+Gastos!J32</f>
        <v>200000</v>
      </c>
      <c r="K11" s="131">
        <f>+Gastos!K32</f>
        <v>200000</v>
      </c>
      <c r="L11" s="131">
        <f>+Gastos!L32</f>
        <v>200000</v>
      </c>
      <c r="M11" s="131">
        <f>+Gastos!M32</f>
        <v>200000</v>
      </c>
      <c r="N11" s="131">
        <f t="shared" si="0"/>
        <v>2200000</v>
      </c>
    </row>
    <row r="12" spans="1:14" ht="12.75" customHeight="1" x14ac:dyDescent="0.2">
      <c r="A12" s="275" t="s">
        <v>225</v>
      </c>
      <c r="B12" s="131"/>
      <c r="C12" s="131">
        <f>+Gastos!C6</f>
        <v>1435000</v>
      </c>
      <c r="D12" s="131">
        <f>+Gastos!D6</f>
        <v>1435000</v>
      </c>
      <c r="E12" s="131">
        <f>+Gastos!E6</f>
        <v>1435000</v>
      </c>
      <c r="F12" s="131">
        <f>+Gastos!F6</f>
        <v>1435000</v>
      </c>
      <c r="G12" s="131">
        <f>+Gastos!G6</f>
        <v>1435000</v>
      </c>
      <c r="H12" s="131">
        <f>+Gastos!H6</f>
        <v>1435000</v>
      </c>
      <c r="I12" s="131">
        <f>+Gastos!I6</f>
        <v>1435000</v>
      </c>
      <c r="J12" s="131">
        <f>+Gastos!J6</f>
        <v>1435000</v>
      </c>
      <c r="K12" s="131">
        <f>+Gastos!K6</f>
        <v>1435000</v>
      </c>
      <c r="L12" s="131">
        <f>+Gastos!L6</f>
        <v>1435000</v>
      </c>
      <c r="M12" s="131">
        <f>+Gastos!M6</f>
        <v>1435000</v>
      </c>
      <c r="N12" s="131">
        <f t="shared" si="0"/>
        <v>15785000</v>
      </c>
    </row>
    <row r="13" spans="1:14" ht="12.75" customHeight="1" x14ac:dyDescent="0.2">
      <c r="A13" s="275" t="s">
        <v>226</v>
      </c>
      <c r="B13" s="276"/>
      <c r="C13" s="276">
        <f>+Gastos!C33</f>
        <v>340000</v>
      </c>
      <c r="D13" s="276">
        <f>+Gastos!D33</f>
        <v>340000</v>
      </c>
      <c r="E13" s="276">
        <f>+Gastos!E33</f>
        <v>340000</v>
      </c>
      <c r="F13" s="276">
        <f>+Gastos!F33</f>
        <v>340000</v>
      </c>
      <c r="G13" s="276">
        <f>+Gastos!G33</f>
        <v>340000</v>
      </c>
      <c r="H13" s="276">
        <f>+Gastos!H33</f>
        <v>340000</v>
      </c>
      <c r="I13" s="276">
        <f>+Gastos!I33</f>
        <v>340000</v>
      </c>
      <c r="J13" s="276">
        <f>+Gastos!J33</f>
        <v>340000</v>
      </c>
      <c r="K13" s="276">
        <f>+Gastos!K33</f>
        <v>340000</v>
      </c>
      <c r="L13" s="276">
        <f>+Gastos!L33</f>
        <v>340000</v>
      </c>
      <c r="M13" s="276">
        <f>+Gastos!M33</f>
        <v>340000</v>
      </c>
      <c r="N13" s="276">
        <f t="shared" si="0"/>
        <v>3740000</v>
      </c>
    </row>
    <row r="14" spans="1:14" ht="12.75" customHeight="1" x14ac:dyDescent="0.2">
      <c r="A14" s="277" t="s">
        <v>227</v>
      </c>
      <c r="B14" s="131">
        <f t="shared" ref="B14:M14" si="1">SUM(B9:B13)</f>
        <v>0</v>
      </c>
      <c r="C14" s="131">
        <f t="shared" si="1"/>
        <v>10475000</v>
      </c>
      <c r="D14" s="131">
        <f t="shared" si="1"/>
        <v>10475000</v>
      </c>
      <c r="E14" s="131">
        <f t="shared" si="1"/>
        <v>10475000</v>
      </c>
      <c r="F14" s="131">
        <f t="shared" si="1"/>
        <v>10475000</v>
      </c>
      <c r="G14" s="131">
        <f t="shared" si="1"/>
        <v>10475000</v>
      </c>
      <c r="H14" s="131">
        <f t="shared" si="1"/>
        <v>10475000</v>
      </c>
      <c r="I14" s="131">
        <f t="shared" si="1"/>
        <v>10475000</v>
      </c>
      <c r="J14" s="131">
        <f t="shared" si="1"/>
        <v>10475000</v>
      </c>
      <c r="K14" s="131">
        <f t="shared" si="1"/>
        <v>10475000</v>
      </c>
      <c r="L14" s="131">
        <f t="shared" si="1"/>
        <v>10475000</v>
      </c>
      <c r="M14" s="131">
        <f t="shared" si="1"/>
        <v>10475000</v>
      </c>
      <c r="N14" s="131">
        <f t="shared" si="0"/>
        <v>115225000</v>
      </c>
    </row>
    <row r="15" spans="1:14" ht="12.75" customHeight="1" x14ac:dyDescent="0.2"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</row>
    <row r="16" spans="1:14" ht="12.75" customHeight="1" x14ac:dyDescent="0.2">
      <c r="A16" s="274" t="s">
        <v>228</v>
      </c>
      <c r="B16" s="131">
        <f>Gastos!C14-Gastos!C13-SUM(Gastos!C4:C6)</f>
        <v>725000</v>
      </c>
      <c r="C16" s="131">
        <f>Gastos!D14-Gastos!D13-SUM(Gastos!D4:D6)</f>
        <v>735000</v>
      </c>
      <c r="D16" s="131">
        <f>Gastos!E14-Gastos!E13-SUM(Gastos!E4:E6)</f>
        <v>750000</v>
      </c>
      <c r="E16" s="131">
        <f>Gastos!F14-Gastos!F13-SUM(Gastos!F4:F6)</f>
        <v>728000</v>
      </c>
      <c r="F16" s="131">
        <f>Gastos!G14-Gastos!G13-SUM(Gastos!G4:G6)</f>
        <v>730000</v>
      </c>
      <c r="G16" s="131">
        <f>Gastos!H14-Gastos!H13-SUM(Gastos!H4:H6)</f>
        <v>726000</v>
      </c>
      <c r="H16" s="131">
        <f>Gastos!I14-Gastos!I13-SUM(Gastos!I4:I6)</f>
        <v>730000</v>
      </c>
      <c r="I16" s="131">
        <f>Gastos!J14-Gastos!J13-SUM(Gastos!J4:J6)</f>
        <v>746000</v>
      </c>
      <c r="J16" s="131">
        <f>Gastos!K14-Gastos!K13-SUM(Gastos!K4:K6)</f>
        <v>722000</v>
      </c>
      <c r="K16" s="131">
        <f>Gastos!L14-Gastos!L13-SUM(Gastos!L4:L6)</f>
        <v>725000</v>
      </c>
      <c r="L16" s="131">
        <f>Gastos!M14-Gastos!M13-SUM(Gastos!M4:M6)</f>
        <v>725000</v>
      </c>
      <c r="M16" s="131">
        <f>Gastos!N14-Gastos!N13-SUM(Gastos!N4:N6)</f>
        <v>725000</v>
      </c>
      <c r="N16" s="131">
        <f t="shared" ref="N16:N17" si="2">SUM(B16:M16)</f>
        <v>8767000</v>
      </c>
    </row>
    <row r="17" spans="1:14" ht="12.75" customHeight="1" x14ac:dyDescent="0.2">
      <c r="A17" s="35" t="s">
        <v>229</v>
      </c>
      <c r="B17" s="131">
        <f>SUM(Gastos!C41-SUM(Gastos!C31:C33))</f>
        <v>7116955</v>
      </c>
      <c r="C17" s="131">
        <f>SUM(Gastos!D41-SUM(Gastos!D31:D33))</f>
        <v>6392605</v>
      </c>
      <c r="D17" s="131">
        <f>SUM(Gastos!E41-SUM(Gastos!E31:E33))</f>
        <v>5454925</v>
      </c>
      <c r="E17" s="131">
        <f>SUM(Gastos!F41-SUM(Gastos!F31:F33))</f>
        <v>3515890</v>
      </c>
      <c r="F17" s="131">
        <f>SUM(Gastos!G41-SUM(Gastos!G31:G33))</f>
        <v>2865310</v>
      </c>
      <c r="G17" s="131">
        <f>SUM(Gastos!H41-SUM(Gastos!H31:H33))</f>
        <v>2561410</v>
      </c>
      <c r="H17" s="131">
        <f>SUM(Gastos!I41-SUM(Gastos!I31:I33))</f>
        <v>2151025</v>
      </c>
      <c r="I17" s="131">
        <f>SUM(Gastos!J41-SUM(Gastos!J31:J33))</f>
        <v>2091850</v>
      </c>
      <c r="J17" s="131">
        <f>SUM(Gastos!K41-SUM(Gastos!K31:K33))</f>
        <v>4012540</v>
      </c>
      <c r="K17" s="131">
        <f>SUM(Gastos!L41-SUM(Gastos!L31:L33))</f>
        <v>5827810</v>
      </c>
      <c r="L17" s="131">
        <f>SUM(Gastos!M41-SUM(Gastos!M31:M33))</f>
        <v>7467535</v>
      </c>
      <c r="M17" s="131">
        <f>SUM(Gastos!N41-SUM(Gastos!N31:N33))</f>
        <v>6995263</v>
      </c>
      <c r="N17" s="131">
        <f t="shared" si="2"/>
        <v>56453118</v>
      </c>
    </row>
    <row r="18" spans="1:14" ht="12.75" customHeight="1" x14ac:dyDescent="0.2"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</row>
    <row r="19" spans="1:14" ht="12.75" customHeight="1" x14ac:dyDescent="0.2">
      <c r="A19" s="278" t="s">
        <v>230</v>
      </c>
      <c r="B19" s="279">
        <f t="shared" ref="B19:N19" si="3">B14+SUM(B16:B17)+B6</f>
        <v>7841955</v>
      </c>
      <c r="C19" s="279">
        <f t="shared" si="3"/>
        <v>183602605</v>
      </c>
      <c r="D19" s="279">
        <f t="shared" si="3"/>
        <v>249429925</v>
      </c>
      <c r="E19" s="279">
        <f t="shared" si="3"/>
        <v>284468890</v>
      </c>
      <c r="F19" s="279">
        <f t="shared" si="3"/>
        <v>256320310</v>
      </c>
      <c r="G19" s="279">
        <f t="shared" si="3"/>
        <v>74012410</v>
      </c>
      <c r="H19" s="279">
        <f t="shared" si="3"/>
        <v>67156025</v>
      </c>
      <c r="I19" s="279">
        <f t="shared" si="3"/>
        <v>61812850</v>
      </c>
      <c r="J19" s="279">
        <f t="shared" si="3"/>
        <v>60109540</v>
      </c>
      <c r="K19" s="279">
        <f t="shared" si="3"/>
        <v>78527810</v>
      </c>
      <c r="L19" s="279">
        <f t="shared" si="3"/>
        <v>106217535</v>
      </c>
      <c r="M19" s="279">
        <f t="shared" si="3"/>
        <v>196195263</v>
      </c>
      <c r="N19" s="279">
        <f t="shared" si="3"/>
        <v>1625695118</v>
      </c>
    </row>
    <row r="20" spans="1:14" ht="12.75" customHeight="1" x14ac:dyDescent="0.2"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</row>
    <row r="21" spans="1:14" ht="13.5" customHeight="1" x14ac:dyDescent="0.2">
      <c r="A21" s="280" t="s">
        <v>231</v>
      </c>
      <c r="B21" s="281">
        <f t="shared" ref="B21:M21" si="4">+B4-B19</f>
        <v>59947845</v>
      </c>
      <c r="C21" s="281">
        <f t="shared" si="4"/>
        <v>-11924105</v>
      </c>
      <c r="D21" s="281">
        <f t="shared" si="4"/>
        <v>85355075</v>
      </c>
      <c r="E21" s="281">
        <f t="shared" si="4"/>
        <v>49863710</v>
      </c>
      <c r="F21" s="281">
        <f t="shared" si="4"/>
        <v>66219590</v>
      </c>
      <c r="G21" s="281">
        <f t="shared" si="4"/>
        <v>267388290</v>
      </c>
      <c r="H21" s="281">
        <f t="shared" si="4"/>
        <v>271006175</v>
      </c>
      <c r="I21" s="281">
        <f t="shared" si="4"/>
        <v>267892150</v>
      </c>
      <c r="J21" s="281">
        <f t="shared" si="4"/>
        <v>265837460</v>
      </c>
      <c r="K21" s="281">
        <f t="shared" si="4"/>
        <v>240431390</v>
      </c>
      <c r="L21" s="281">
        <f t="shared" si="4"/>
        <v>214041965</v>
      </c>
      <c r="M21" s="281">
        <f t="shared" si="4"/>
        <v>126197837</v>
      </c>
      <c r="N21" s="281">
        <f>SUM(B21:M21)</f>
        <v>1902257382</v>
      </c>
    </row>
    <row r="22" spans="1:14" ht="13.5" customHeight="1" x14ac:dyDescent="0.2"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</row>
    <row r="23" spans="1:14" ht="12.75" customHeight="1" x14ac:dyDescent="0.2">
      <c r="A23" s="35" t="s">
        <v>232</v>
      </c>
      <c r="B23" s="131">
        <f>Inversiones!C24</f>
        <v>7000000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>
        <f>SUM(B23:M23)</f>
        <v>7000000</v>
      </c>
    </row>
    <row r="24" spans="1:14" ht="12.75" customHeight="1" x14ac:dyDescent="0.2"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 ht="12.75" customHeight="1" x14ac:dyDescent="0.2">
      <c r="A25" s="127" t="s">
        <v>233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</row>
    <row r="26" spans="1:14" ht="12.75" customHeight="1" x14ac:dyDescent="0.2"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</row>
    <row r="27" spans="1:14" ht="12.75" customHeight="1" x14ac:dyDescent="0.2">
      <c r="A27" s="35" t="s">
        <v>234</v>
      </c>
      <c r="B27" s="131">
        <f>+PRESTAMO!C4</f>
        <v>10000000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>
        <f t="shared" ref="N27:N29" si="5">SUM(B27:M27)</f>
        <v>10000000</v>
      </c>
    </row>
    <row r="28" spans="1:14" ht="12.75" customHeight="1" x14ac:dyDescent="0.2">
      <c r="A28" s="246" t="s">
        <v>235</v>
      </c>
      <c r="B28" s="276"/>
      <c r="C28" s="276">
        <f>-PRESTAMO!$H10</f>
        <v>-79741.404289037644</v>
      </c>
      <c r="D28" s="276">
        <f>-PRESTAMO!$H11</f>
        <v>-79741.404289037644</v>
      </c>
      <c r="E28" s="276">
        <f>-PRESTAMO!$H12</f>
        <v>-79741.404289037644</v>
      </c>
      <c r="F28" s="276">
        <f>-PRESTAMO!$H13</f>
        <v>-79741.404289037644</v>
      </c>
      <c r="G28" s="276">
        <f>-PRESTAMO!$H14</f>
        <v>-79741.404289037644</v>
      </c>
      <c r="H28" s="276">
        <f>-PRESTAMO!$H15</f>
        <v>-79741.404289037644</v>
      </c>
      <c r="I28" s="276">
        <f>-PRESTAMO!$H16</f>
        <v>-376113.17158769409</v>
      </c>
      <c r="J28" s="276">
        <f>-PRESTAMO!$H17</f>
        <v>-376113.17158769409</v>
      </c>
      <c r="K28" s="276">
        <f>-PRESTAMO!$H18</f>
        <v>-376113.17158769409</v>
      </c>
      <c r="L28" s="276">
        <f>-PRESTAMO!$H19</f>
        <v>-376113.17158769409</v>
      </c>
      <c r="M28" s="276">
        <f>-PRESTAMO!$H20</f>
        <v>-376113.17158769409</v>
      </c>
      <c r="N28" s="276">
        <f t="shared" si="5"/>
        <v>-2359014.283672696</v>
      </c>
    </row>
    <row r="29" spans="1:14" ht="12.75" customHeight="1" x14ac:dyDescent="0.2">
      <c r="A29" s="277" t="s">
        <v>236</v>
      </c>
      <c r="B29" s="131">
        <f t="shared" ref="B29:M29" si="6">SUM(B27:B28)</f>
        <v>10000000</v>
      </c>
      <c r="C29" s="131">
        <f t="shared" si="6"/>
        <v>-79741.404289037644</v>
      </c>
      <c r="D29" s="131">
        <f t="shared" si="6"/>
        <v>-79741.404289037644</v>
      </c>
      <c r="E29" s="131">
        <f t="shared" si="6"/>
        <v>-79741.404289037644</v>
      </c>
      <c r="F29" s="131">
        <f t="shared" si="6"/>
        <v>-79741.404289037644</v>
      </c>
      <c r="G29" s="131">
        <f t="shared" si="6"/>
        <v>-79741.404289037644</v>
      </c>
      <c r="H29" s="131">
        <f t="shared" si="6"/>
        <v>-79741.404289037644</v>
      </c>
      <c r="I29" s="131">
        <f t="shared" si="6"/>
        <v>-376113.17158769409</v>
      </c>
      <c r="J29" s="131">
        <f t="shared" si="6"/>
        <v>-376113.17158769409</v>
      </c>
      <c r="K29" s="131">
        <f t="shared" si="6"/>
        <v>-376113.17158769409</v>
      </c>
      <c r="L29" s="131">
        <f t="shared" si="6"/>
        <v>-376113.17158769409</v>
      </c>
      <c r="M29" s="131">
        <f t="shared" si="6"/>
        <v>-376113.17158769409</v>
      </c>
      <c r="N29" s="131">
        <f t="shared" si="5"/>
        <v>7640985.7163273059</v>
      </c>
    </row>
    <row r="30" spans="1:14" ht="12.75" customHeight="1" x14ac:dyDescent="0.2"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</row>
    <row r="31" spans="1:14" ht="13.5" customHeight="1" x14ac:dyDescent="0.2">
      <c r="A31" s="282" t="s">
        <v>237</v>
      </c>
      <c r="B31" s="283">
        <f t="shared" ref="B31:N31" si="7">B21-B23+B29</f>
        <v>62947845</v>
      </c>
      <c r="C31" s="283">
        <f t="shared" si="7"/>
        <v>-12003846.404289037</v>
      </c>
      <c r="D31" s="283">
        <f t="shared" si="7"/>
        <v>85275333.595710963</v>
      </c>
      <c r="E31" s="283">
        <f t="shared" si="7"/>
        <v>49783968.595710963</v>
      </c>
      <c r="F31" s="283">
        <f t="shared" si="7"/>
        <v>66139848.595710963</v>
      </c>
      <c r="G31" s="283">
        <f t="shared" si="7"/>
        <v>267308548.59571096</v>
      </c>
      <c r="H31" s="283">
        <f t="shared" si="7"/>
        <v>270926433.59571093</v>
      </c>
      <c r="I31" s="283">
        <f t="shared" si="7"/>
        <v>267516036.82841229</v>
      </c>
      <c r="J31" s="283">
        <f t="shared" si="7"/>
        <v>265461346.82841229</v>
      </c>
      <c r="K31" s="283">
        <f t="shared" si="7"/>
        <v>240055276.82841229</v>
      </c>
      <c r="L31" s="283">
        <f t="shared" si="7"/>
        <v>213665851.82841229</v>
      </c>
      <c r="M31" s="283">
        <f t="shared" si="7"/>
        <v>125821723.82841231</v>
      </c>
      <c r="N31" s="283">
        <f t="shared" si="7"/>
        <v>1902898367.7163272</v>
      </c>
    </row>
    <row r="32" spans="1:14" ht="13.5" customHeight="1" x14ac:dyDescent="0.2"/>
    <row r="33" spans="1:14" ht="12.75" customHeight="1" x14ac:dyDescent="0.2">
      <c r="A33" s="35" t="s">
        <v>238</v>
      </c>
      <c r="B33" s="284">
        <f>80000</f>
        <v>80000</v>
      </c>
      <c r="N33" s="131"/>
    </row>
    <row r="34" spans="1:14" ht="12.75" customHeight="1" x14ac:dyDescent="0.2"/>
    <row r="35" spans="1:14" ht="13.5" customHeight="1" x14ac:dyDescent="0.2">
      <c r="A35" s="280" t="s">
        <v>218</v>
      </c>
      <c r="B35" s="281">
        <f>+B33+B31</f>
        <v>63027845</v>
      </c>
      <c r="C35" s="281">
        <f t="shared" ref="C35:M35" si="8">+B35+C31</f>
        <v>51023998.595710963</v>
      </c>
      <c r="D35" s="281">
        <f t="shared" si="8"/>
        <v>136299332.19142193</v>
      </c>
      <c r="E35" s="281">
        <f t="shared" si="8"/>
        <v>186083300.78713289</v>
      </c>
      <c r="F35" s="281">
        <f t="shared" si="8"/>
        <v>252223149.38284385</v>
      </c>
      <c r="G35" s="281">
        <f t="shared" si="8"/>
        <v>519531697.97855484</v>
      </c>
      <c r="H35" s="281">
        <f t="shared" si="8"/>
        <v>790458131.57426572</v>
      </c>
      <c r="I35" s="281">
        <f t="shared" si="8"/>
        <v>1057974168.402678</v>
      </c>
      <c r="J35" s="281">
        <f t="shared" si="8"/>
        <v>1323435515.2310903</v>
      </c>
      <c r="K35" s="281">
        <f t="shared" si="8"/>
        <v>1563490792.0595026</v>
      </c>
      <c r="L35" s="281">
        <f t="shared" si="8"/>
        <v>1777156643.8879149</v>
      </c>
      <c r="M35" s="281">
        <f t="shared" si="8"/>
        <v>1902978367.7163272</v>
      </c>
    </row>
    <row r="36" spans="1:14" ht="13.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/>
    <row r="40" spans="1:14" ht="12.75" customHeight="1" x14ac:dyDescent="0.2"/>
    <row r="41" spans="1:14" ht="12.75" customHeight="1" x14ac:dyDescent="0.2"/>
    <row r="42" spans="1:14" ht="12.75" customHeight="1" x14ac:dyDescent="0.2">
      <c r="N42" s="131"/>
    </row>
    <row r="43" spans="1:14" ht="12.75" customHeight="1" x14ac:dyDescent="0.2">
      <c r="N43" s="131"/>
    </row>
    <row r="44" spans="1:14" ht="12.75" customHeight="1" x14ac:dyDescent="0.2">
      <c r="N44" s="131"/>
    </row>
    <row r="45" spans="1:14" ht="12.75" customHeight="1" x14ac:dyDescent="0.2">
      <c r="N45" s="131"/>
    </row>
    <row r="46" spans="1:14" ht="12.75" customHeight="1" x14ac:dyDescent="0.2">
      <c r="N46" s="131"/>
    </row>
    <row r="47" spans="1:14" ht="12.75" customHeight="1" x14ac:dyDescent="0.2">
      <c r="N47" s="131"/>
    </row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&amp;CFlujo de Fondos Proyectado Primer año</oddHeader>
    <oddFooter>&amp;Rwww.emprenautas.com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0"/>
  <sheetViews>
    <sheetView topLeftCell="A9" workbookViewId="0"/>
  </sheetViews>
  <sheetFormatPr baseColWidth="10" defaultColWidth="12.5703125" defaultRowHeight="15" customHeight="1" x14ac:dyDescent="0.2"/>
  <cols>
    <col min="1" max="1" width="28.42578125" customWidth="1"/>
    <col min="2" max="2" width="13" customWidth="1"/>
    <col min="3" max="3" width="13.7109375" customWidth="1"/>
    <col min="4" max="4" width="12.85546875" customWidth="1"/>
    <col min="5" max="5" width="13.5703125" customWidth="1"/>
    <col min="6" max="6" width="15.85546875" customWidth="1"/>
    <col min="7" max="26" width="10" customWidth="1"/>
  </cols>
  <sheetData>
    <row r="1" spans="1:6" ht="20.25" customHeight="1" x14ac:dyDescent="0.3">
      <c r="A1" s="6"/>
      <c r="E1" s="7" t="str">
        <f>Productos!G1</f>
        <v>Heladería DANG</v>
      </c>
    </row>
    <row r="2" spans="1:6" ht="13.5" customHeight="1" x14ac:dyDescent="0.2"/>
    <row r="3" spans="1:6" ht="13.5" customHeight="1" x14ac:dyDescent="0.2">
      <c r="A3" s="12" t="s">
        <v>218</v>
      </c>
      <c r="B3" s="14">
        <f>Ventas!C16</f>
        <v>2022</v>
      </c>
      <c r="C3" s="14">
        <f>Ventas!D16</f>
        <v>2023</v>
      </c>
      <c r="D3" s="14">
        <f>Ventas!E16</f>
        <v>2024</v>
      </c>
      <c r="E3" s="14">
        <f>Ventas!F16</f>
        <v>2025</v>
      </c>
      <c r="F3" s="15">
        <f>Ventas!G16</f>
        <v>2026</v>
      </c>
    </row>
    <row r="4" spans="1:6" ht="12.75" customHeight="1" x14ac:dyDescent="0.2">
      <c r="A4" s="17" t="s">
        <v>219</v>
      </c>
      <c r="B4" s="99">
        <f>+Flujo!N4</f>
        <v>3527952500</v>
      </c>
      <c r="C4" s="99">
        <f>Ventas!C54*Cobranzas!$O$18+Ventas!D54*(1-Cobranzas!$O$18)</f>
        <v>2493141452.250493</v>
      </c>
      <c r="D4" s="99">
        <f>Ventas!D54*Cobranzas!$O$18+Ventas!E54*(1-Cobranzas!$O$18)</f>
        <v>2511075194.7385573</v>
      </c>
      <c r="E4" s="99">
        <f>Ventas!E54*Cobranzas!$O$18+Ventas!F54*(1-Cobranzas!$O$18)</f>
        <v>2722121762.4974861</v>
      </c>
      <c r="F4" s="100">
        <f>Ventas!F54*Cobranzas!$O$18+Ventas!G54*(1-Cobranzas!$O$18)</f>
        <v>2357043677.5244513</v>
      </c>
    </row>
    <row r="5" spans="1:6" ht="12.75" customHeight="1" x14ac:dyDescent="0.2">
      <c r="A5" s="17"/>
      <c r="B5" s="99"/>
      <c r="C5" s="99"/>
      <c r="D5" s="99"/>
      <c r="E5" s="99"/>
      <c r="F5" s="100"/>
    </row>
    <row r="6" spans="1:6" ht="12.75" customHeight="1" x14ac:dyDescent="0.2">
      <c r="A6" s="17" t="s">
        <v>220</v>
      </c>
      <c r="B6" s="99">
        <f>+Flujo!N6</f>
        <v>1445250000</v>
      </c>
      <c r="C6" s="99">
        <f>Balance!E4+Gastos!D18*(1-Cobranzas!$O$18)</f>
        <v>1895718615.2256491</v>
      </c>
      <c r="D6" s="99">
        <f>Gastos!D18*Cobranzas!$O$18+Gastos!E18*(1-Cobranzas!$O$18)</f>
        <v>1916109317.9961574</v>
      </c>
      <c r="E6" s="99">
        <f>Gastos!E18*Cobranzas!$O$18+Gastos!F18*(1-Cobranzas!$O$18)</f>
        <v>2085171006.9370053</v>
      </c>
      <c r="F6" s="100">
        <f>Gastos!F18*Cobranzas!$O$18+Gastos!G18*(1-Cobranzas!$O$18)</f>
        <v>1794679633.5051472</v>
      </c>
    </row>
    <row r="7" spans="1:6" ht="12.75" customHeight="1" x14ac:dyDescent="0.2">
      <c r="A7" s="285" t="s">
        <v>221</v>
      </c>
      <c r="B7" s="99">
        <f>+Flujo!N14</f>
        <v>115225000</v>
      </c>
      <c r="C7" s="99">
        <f>SUM(Gastos!D19:D20)+SUM(Gastos!D45:D47)</f>
        <v>128110000</v>
      </c>
      <c r="D7" s="99">
        <f>SUM(Gastos!E19:E20)+SUM(Gastos!E45:E47)</f>
        <v>132930000</v>
      </c>
      <c r="E7" s="99">
        <f>SUM(Gastos!F19:F20)+SUM(Gastos!F45:F47)</f>
        <v>138955000</v>
      </c>
      <c r="F7" s="100">
        <f>SUM(Gastos!G19:G20)+SUM(Gastos!G45:G47)</f>
        <v>144980000</v>
      </c>
    </row>
    <row r="8" spans="1:6" ht="12.75" customHeight="1" x14ac:dyDescent="0.2">
      <c r="A8" s="285" t="s">
        <v>228</v>
      </c>
      <c r="B8" s="99">
        <f>+Flujo!N16</f>
        <v>8767000</v>
      </c>
      <c r="C8" s="99">
        <f>SUM(Gastos!D21:D26)</f>
        <v>8870000</v>
      </c>
      <c r="D8" s="99">
        <f>SUM(Gastos!E21:E26)</f>
        <v>8895000</v>
      </c>
      <c r="E8" s="99">
        <f>SUM(Gastos!F21:F26)</f>
        <v>8950000</v>
      </c>
      <c r="F8" s="100">
        <f>SUM(Gastos!G21:G26)</f>
        <v>9180000</v>
      </c>
    </row>
    <row r="9" spans="1:6" ht="12.75" customHeight="1" x14ac:dyDescent="0.2">
      <c r="A9" s="17" t="s">
        <v>229</v>
      </c>
      <c r="B9" s="99">
        <f>+Flujo!N17</f>
        <v>56453118</v>
      </c>
      <c r="C9" s="99">
        <f>SUM(Gastos!D48:D54)</f>
        <v>56453118</v>
      </c>
      <c r="D9" s="99">
        <f>SUM(Gastos!E48:E54)</f>
        <v>56453118</v>
      </c>
      <c r="E9" s="99">
        <f>SUM(Gastos!F48:F54)</f>
        <v>56453118</v>
      </c>
      <c r="F9" s="100">
        <f>SUM(Gastos!G48:G54)</f>
        <v>56453118</v>
      </c>
    </row>
    <row r="10" spans="1:6" ht="12.75" customHeight="1" x14ac:dyDescent="0.2">
      <c r="A10" s="17" t="s">
        <v>208</v>
      </c>
      <c r="B10" s="99"/>
      <c r="C10" s="99">
        <f>Resultado!B28</f>
        <v>241788030.54659331</v>
      </c>
      <c r="D10" s="99">
        <f>Resultado!C28</f>
        <v>110464031.98672849</v>
      </c>
      <c r="E10" s="99">
        <f>Resultado!D28</f>
        <v>124275136.893232</v>
      </c>
      <c r="F10" s="100">
        <f>Resultado!E28</f>
        <v>135228912.28310302</v>
      </c>
    </row>
    <row r="11" spans="1:6" ht="12.75" customHeight="1" x14ac:dyDescent="0.2">
      <c r="A11" s="17"/>
      <c r="B11" s="99"/>
      <c r="C11" s="99"/>
      <c r="D11" s="99"/>
      <c r="E11" s="99"/>
      <c r="F11" s="100"/>
    </row>
    <row r="12" spans="1:6" ht="12.75" customHeight="1" x14ac:dyDescent="0.2">
      <c r="A12" s="286" t="s">
        <v>230</v>
      </c>
      <c r="B12" s="287">
        <f t="shared" ref="B12:F12" si="0">SUM(B6:B11)</f>
        <v>1625695118</v>
      </c>
      <c r="C12" s="287">
        <f t="shared" si="0"/>
        <v>2330939763.7722425</v>
      </c>
      <c r="D12" s="287">
        <f t="shared" si="0"/>
        <v>2224851467.9828858</v>
      </c>
      <c r="E12" s="287">
        <f t="shared" si="0"/>
        <v>2413804261.8302369</v>
      </c>
      <c r="F12" s="288">
        <f t="shared" si="0"/>
        <v>2140521663.7882502</v>
      </c>
    </row>
    <row r="13" spans="1:6" ht="12.75" customHeight="1" x14ac:dyDescent="0.2">
      <c r="A13" s="17"/>
      <c r="B13" s="99"/>
      <c r="C13" s="99"/>
      <c r="D13" s="99"/>
      <c r="E13" s="99"/>
      <c r="F13" s="100"/>
    </row>
    <row r="14" spans="1:6" ht="12.75" customHeight="1" x14ac:dyDescent="0.2">
      <c r="A14" s="17" t="s">
        <v>231</v>
      </c>
      <c r="B14" s="99">
        <f t="shared" ref="B14:F14" si="1">+B4-B12</f>
        <v>1902257382</v>
      </c>
      <c r="C14" s="99">
        <f t="shared" si="1"/>
        <v>162201688.4782505</v>
      </c>
      <c r="D14" s="99">
        <f t="shared" si="1"/>
        <v>286223726.7556715</v>
      </c>
      <c r="E14" s="99">
        <f t="shared" si="1"/>
        <v>308317500.6672492</v>
      </c>
      <c r="F14" s="100">
        <f t="shared" si="1"/>
        <v>216522013.73620105</v>
      </c>
    </row>
    <row r="15" spans="1:6" ht="12.75" customHeight="1" x14ac:dyDescent="0.2">
      <c r="A15" s="17"/>
      <c r="B15" s="99"/>
      <c r="C15" s="99"/>
      <c r="D15" s="99"/>
      <c r="E15" s="99"/>
      <c r="F15" s="109"/>
    </row>
    <row r="16" spans="1:6" ht="12.75" customHeight="1" x14ac:dyDescent="0.2">
      <c r="A16" s="17" t="s">
        <v>232</v>
      </c>
      <c r="B16" s="99">
        <f>+Flujo!B23</f>
        <v>7000000</v>
      </c>
      <c r="C16" s="99"/>
      <c r="D16" s="99"/>
      <c r="E16" s="99"/>
      <c r="F16" s="109"/>
    </row>
    <row r="17" spans="1:6" ht="12.75" customHeight="1" x14ac:dyDescent="0.2">
      <c r="A17" s="17"/>
      <c r="B17" s="99"/>
      <c r="C17" s="99"/>
      <c r="D17" s="99"/>
      <c r="E17" s="99"/>
      <c r="F17" s="109"/>
    </row>
    <row r="18" spans="1:6" ht="12.75" customHeight="1" x14ac:dyDescent="0.2">
      <c r="A18" s="254" t="s">
        <v>233</v>
      </c>
      <c r="B18" s="99"/>
      <c r="C18" s="99"/>
      <c r="D18" s="99"/>
      <c r="E18" s="99"/>
      <c r="F18" s="109"/>
    </row>
    <row r="19" spans="1:6" ht="12.75" customHeight="1" x14ac:dyDescent="0.2">
      <c r="A19" s="17"/>
      <c r="B19" s="99"/>
      <c r="C19" s="99"/>
      <c r="D19" s="99"/>
      <c r="E19" s="99"/>
      <c r="F19" s="109"/>
    </row>
    <row r="20" spans="1:6" ht="12.75" customHeight="1" x14ac:dyDescent="0.2">
      <c r="A20" s="17" t="s">
        <v>234</v>
      </c>
      <c r="B20" s="99">
        <f>+Flujo!N27</f>
        <v>10000000</v>
      </c>
      <c r="C20" s="99"/>
      <c r="D20" s="99"/>
      <c r="E20" s="99"/>
      <c r="F20" s="109"/>
    </row>
    <row r="21" spans="1:6" ht="12.75" customHeight="1" x14ac:dyDescent="0.2">
      <c r="A21" s="248" t="s">
        <v>235</v>
      </c>
      <c r="B21" s="249">
        <f>+Flujo!N28</f>
        <v>-2359014.283672696</v>
      </c>
      <c r="C21" s="249">
        <f>-PRESTAMO!L32</f>
        <v>-4513358.0590523286</v>
      </c>
      <c r="D21" s="249">
        <f>-PRESTAMO!L44</f>
        <v>-4513358.0590523286</v>
      </c>
      <c r="E21" s="249">
        <f>-PRESTAMO!L56</f>
        <v>-376113.17158769409</v>
      </c>
      <c r="F21" s="250">
        <f>-PRESTAMO!L68</f>
        <v>0</v>
      </c>
    </row>
    <row r="22" spans="1:6" ht="12.75" customHeight="1" x14ac:dyDescent="0.2">
      <c r="A22" s="289" t="s">
        <v>236</v>
      </c>
      <c r="B22" s="99">
        <f t="shared" ref="B22:F22" si="2">SUM(B20:B21)</f>
        <v>7640985.716327304</v>
      </c>
      <c r="C22" s="99">
        <f t="shared" si="2"/>
        <v>-4513358.0590523286</v>
      </c>
      <c r="D22" s="99">
        <f t="shared" si="2"/>
        <v>-4513358.0590523286</v>
      </c>
      <c r="E22" s="99">
        <f t="shared" si="2"/>
        <v>-376113.17158769409</v>
      </c>
      <c r="F22" s="100">
        <f t="shared" si="2"/>
        <v>0</v>
      </c>
    </row>
    <row r="23" spans="1:6" ht="12.75" customHeight="1" x14ac:dyDescent="0.2">
      <c r="A23" s="17"/>
      <c r="B23" s="99"/>
      <c r="C23" s="99"/>
      <c r="D23" s="99"/>
      <c r="E23" s="99"/>
      <c r="F23" s="109"/>
    </row>
    <row r="24" spans="1:6" ht="13.5" customHeight="1" x14ac:dyDescent="0.2">
      <c r="A24" s="290" t="s">
        <v>237</v>
      </c>
      <c r="B24" s="291">
        <f t="shared" ref="B24:F24" si="3">B14-B16+B22</f>
        <v>1902898367.7163272</v>
      </c>
      <c r="C24" s="291">
        <f t="shared" si="3"/>
        <v>157688330.41919819</v>
      </c>
      <c r="D24" s="291">
        <f t="shared" si="3"/>
        <v>281710368.69661915</v>
      </c>
      <c r="E24" s="291">
        <f t="shared" si="3"/>
        <v>307941387.4956615</v>
      </c>
      <c r="F24" s="292">
        <f t="shared" si="3"/>
        <v>216522013.73620105</v>
      </c>
    </row>
    <row r="25" spans="1:6" ht="13.5" customHeight="1" x14ac:dyDescent="0.2">
      <c r="A25" s="17"/>
      <c r="B25" s="18"/>
      <c r="C25" s="18"/>
      <c r="D25" s="18"/>
      <c r="E25" s="18"/>
      <c r="F25" s="109"/>
    </row>
    <row r="26" spans="1:6" ht="12.75" customHeight="1" x14ac:dyDescent="0.2">
      <c r="A26" s="17" t="s">
        <v>238</v>
      </c>
      <c r="B26" s="99">
        <f>+Flujo!B33</f>
        <v>80000</v>
      </c>
      <c r="C26" s="18"/>
      <c r="D26" s="18"/>
      <c r="E26" s="18"/>
      <c r="F26" s="109"/>
    </row>
    <row r="27" spans="1:6" ht="12.75" customHeight="1" x14ac:dyDescent="0.2">
      <c r="A27" s="17"/>
      <c r="B27" s="18"/>
      <c r="C27" s="18"/>
      <c r="D27" s="18"/>
      <c r="E27" s="18"/>
      <c r="F27" s="109"/>
    </row>
    <row r="28" spans="1:6" ht="13.5" customHeight="1" x14ac:dyDescent="0.2">
      <c r="A28" s="293" t="s">
        <v>218</v>
      </c>
      <c r="B28" s="294">
        <f>+B26+B24</f>
        <v>1902978367.7163272</v>
      </c>
      <c r="C28" s="294">
        <f t="shared" ref="C28:D28" si="4">+C24+B28</f>
        <v>2060666698.1355255</v>
      </c>
      <c r="D28" s="294">
        <f t="shared" si="4"/>
        <v>2342377066.8321447</v>
      </c>
      <c r="E28" s="294">
        <f t="shared" ref="E28:F28" si="5">+E24+C28</f>
        <v>2368608085.631187</v>
      </c>
      <c r="F28" s="295">
        <f t="shared" si="5"/>
        <v>2558899080.568346</v>
      </c>
    </row>
    <row r="29" spans="1:6" ht="13.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&amp;CFlujo de Fondos Proyectado Cinco Años</oddHeader>
    <oddFooter>&amp;Rwww.emprenautas.com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1000"/>
  <sheetViews>
    <sheetView workbookViewId="0">
      <selection activeCell="B17" sqref="B17"/>
    </sheetView>
  </sheetViews>
  <sheetFormatPr baseColWidth="10" defaultColWidth="12.5703125" defaultRowHeight="15" customHeight="1" x14ac:dyDescent="0.2"/>
  <cols>
    <col min="1" max="1" width="28.42578125" customWidth="1"/>
    <col min="2" max="2" width="14.7109375" customWidth="1"/>
    <col min="3" max="3" width="13.85546875" customWidth="1"/>
    <col min="4" max="4" width="14" customWidth="1"/>
    <col min="5" max="5" width="13" customWidth="1"/>
    <col min="6" max="6" width="12.85546875" customWidth="1"/>
    <col min="7" max="7" width="13.7109375" customWidth="1"/>
    <col min="8" max="8" width="12.28515625" customWidth="1"/>
    <col min="9" max="26" width="10" customWidth="1"/>
  </cols>
  <sheetData>
    <row r="1" spans="1:8" ht="20.25" customHeight="1" x14ac:dyDescent="0.3">
      <c r="A1" s="6"/>
      <c r="B1" s="31"/>
      <c r="F1" s="7" t="str">
        <f>Productos!G1</f>
        <v>Heladería DANG</v>
      </c>
    </row>
    <row r="2" spans="1:8" ht="13.5" customHeight="1" x14ac:dyDescent="0.3">
      <c r="A2" s="274"/>
      <c r="B2" s="274"/>
      <c r="F2" s="7"/>
    </row>
    <row r="3" spans="1:8" ht="13.5" customHeight="1" x14ac:dyDescent="0.3">
      <c r="A3" s="296" t="s">
        <v>239</v>
      </c>
      <c r="B3" s="297">
        <v>0.5</v>
      </c>
      <c r="F3" s="7"/>
    </row>
    <row r="4" spans="1:8" ht="13.5" customHeight="1" x14ac:dyDescent="0.2">
      <c r="A4" s="274"/>
      <c r="B4" s="274"/>
    </row>
    <row r="5" spans="1:8" ht="13.5" customHeight="1" x14ac:dyDescent="0.2">
      <c r="A5" s="12" t="s">
        <v>240</v>
      </c>
      <c r="B5" s="298">
        <f>C5-1</f>
        <v>2021</v>
      </c>
      <c r="C5" s="14">
        <f>Ventas!C16</f>
        <v>2022</v>
      </c>
      <c r="D5" s="14">
        <f>Ventas!D16</f>
        <v>2023</v>
      </c>
      <c r="E5" s="14">
        <f>Ventas!E16</f>
        <v>2024</v>
      </c>
      <c r="F5" s="14">
        <f>Ventas!F16</f>
        <v>2025</v>
      </c>
      <c r="G5" s="15">
        <f>Ventas!G16</f>
        <v>2026</v>
      </c>
    </row>
    <row r="6" spans="1:8" ht="12.75" customHeight="1" x14ac:dyDescent="0.2">
      <c r="A6" s="17" t="s">
        <v>219</v>
      </c>
      <c r="B6" s="299"/>
      <c r="C6" s="99">
        <f>+Flujo!N4</f>
        <v>3527952500</v>
      </c>
      <c r="D6" s="99">
        <f>Ventas!C54*Cobranzas!$O$18+Ventas!D54*(1-Cobranzas!$O$18)</f>
        <v>2493141452.250493</v>
      </c>
      <c r="E6" s="99">
        <f>Ventas!D54*Cobranzas!$O$18+Ventas!E54*(1-Cobranzas!$O$18)</f>
        <v>2511075194.7385573</v>
      </c>
      <c r="F6" s="99">
        <f>Ventas!E54*Cobranzas!$O$18+Ventas!F54*(1-Cobranzas!$O$18)</f>
        <v>2722121762.4974861</v>
      </c>
      <c r="G6" s="300">
        <f>Ventas!F54*Cobranzas!$O$18+Ventas!G54*(1-Cobranzas!$O$18)</f>
        <v>2357043677.5244513</v>
      </c>
    </row>
    <row r="7" spans="1:8" ht="12.75" customHeight="1" x14ac:dyDescent="0.2">
      <c r="A7" s="17" t="s">
        <v>241</v>
      </c>
      <c r="B7" s="301"/>
      <c r="C7" s="249">
        <f>'5_años'!B12</f>
        <v>1625695118</v>
      </c>
      <c r="D7" s="249">
        <f>'5_años'!C12</f>
        <v>2330939763.7722425</v>
      </c>
      <c r="E7" s="249">
        <f>'5_años'!D12</f>
        <v>2224851467.9828858</v>
      </c>
      <c r="F7" s="249">
        <f>'5_años'!E12</f>
        <v>2413804261.8302369</v>
      </c>
      <c r="G7" s="250">
        <f>'5_años'!F12</f>
        <v>2140521663.7882502</v>
      </c>
    </row>
    <row r="8" spans="1:8" ht="12.75" customHeight="1" x14ac:dyDescent="0.2">
      <c r="A8" s="17"/>
      <c r="B8" s="302"/>
      <c r="C8" s="99">
        <f t="shared" ref="C8:G8" si="0">C6-C7</f>
        <v>1902257382</v>
      </c>
      <c r="D8" s="99">
        <f t="shared" si="0"/>
        <v>162201688.4782505</v>
      </c>
      <c r="E8" s="99">
        <f t="shared" si="0"/>
        <v>286223726.7556715</v>
      </c>
      <c r="F8" s="99">
        <f t="shared" si="0"/>
        <v>308317500.6672492</v>
      </c>
      <c r="G8" s="100">
        <f t="shared" si="0"/>
        <v>216522013.73620105</v>
      </c>
    </row>
    <row r="9" spans="1:8" ht="13.5" customHeight="1" x14ac:dyDescent="0.2">
      <c r="A9" s="285"/>
      <c r="B9" s="302"/>
      <c r="C9" s="99"/>
      <c r="D9" s="99"/>
      <c r="E9" s="99"/>
      <c r="F9" s="99"/>
      <c r="G9" s="100"/>
    </row>
    <row r="10" spans="1:8" ht="12.75" customHeight="1" x14ac:dyDescent="0.2">
      <c r="A10" s="285" t="s">
        <v>242</v>
      </c>
      <c r="B10" s="303">
        <f>-'5_años'!B16</f>
        <v>-7000000</v>
      </c>
      <c r="C10" s="99"/>
      <c r="D10" s="99"/>
      <c r="E10" s="99"/>
      <c r="F10" s="99"/>
      <c r="G10" s="100"/>
      <c r="H10" s="304" t="s">
        <v>243</v>
      </c>
    </row>
    <row r="11" spans="1:8" ht="13.5" customHeight="1" x14ac:dyDescent="0.2">
      <c r="A11" s="17"/>
      <c r="B11" s="302"/>
      <c r="C11" s="99"/>
      <c r="D11" s="99"/>
      <c r="E11" s="99"/>
      <c r="F11" s="99"/>
      <c r="G11" s="100"/>
      <c r="H11" s="305" t="s">
        <v>244</v>
      </c>
    </row>
    <row r="12" spans="1:8" ht="12.75" customHeight="1" x14ac:dyDescent="0.2">
      <c r="A12" s="286" t="s">
        <v>240</v>
      </c>
      <c r="B12" s="306">
        <f>B10</f>
        <v>-7000000</v>
      </c>
      <c r="C12" s="287">
        <f t="shared" ref="C12:G12" si="1">C8</f>
        <v>1902257382</v>
      </c>
      <c r="D12" s="287">
        <f t="shared" si="1"/>
        <v>162201688.4782505</v>
      </c>
      <c r="E12" s="287">
        <f t="shared" si="1"/>
        <v>286223726.7556715</v>
      </c>
      <c r="F12" s="287">
        <f t="shared" si="1"/>
        <v>308317500.6672492</v>
      </c>
      <c r="G12" s="288">
        <f t="shared" si="1"/>
        <v>216522013.73620105</v>
      </c>
      <c r="H12" s="307">
        <f>G12/B3</f>
        <v>433044027.4724021</v>
      </c>
    </row>
    <row r="13" spans="1:8" ht="13.5" customHeight="1" x14ac:dyDescent="0.2">
      <c r="A13" s="25"/>
      <c r="B13" s="185"/>
      <c r="C13" s="103"/>
      <c r="D13" s="103"/>
      <c r="E13" s="103"/>
      <c r="F13" s="103"/>
      <c r="G13" s="104"/>
      <c r="H13" s="308"/>
    </row>
    <row r="14" spans="1:8" ht="12.75" customHeight="1" x14ac:dyDescent="0.2"/>
    <row r="15" spans="1:8" ht="12.75" customHeight="1" x14ac:dyDescent="0.2">
      <c r="A15" s="8" t="s">
        <v>245</v>
      </c>
      <c r="B15" s="309">
        <f>IRR(B12:H12)</f>
        <v>270.8368511994118</v>
      </c>
    </row>
    <row r="16" spans="1:8" ht="12.75" customHeight="1" x14ac:dyDescent="0.2"/>
    <row r="17" spans="1:2" ht="12.75" customHeight="1" x14ac:dyDescent="0.2">
      <c r="A17" s="8" t="s">
        <v>246</v>
      </c>
      <c r="B17" s="310">
        <f>B12+NPV(B3,C12:H12)</f>
        <v>1545501249.4803445</v>
      </c>
    </row>
    <row r="18" spans="1:2" ht="12.75" customHeight="1" x14ac:dyDescent="0.2"/>
    <row r="19" spans="1:2" ht="12.75" customHeight="1" x14ac:dyDescent="0.2"/>
    <row r="20" spans="1:2" ht="12.75" customHeight="1" x14ac:dyDescent="0.2"/>
    <row r="21" spans="1:2" ht="12.75" customHeight="1" x14ac:dyDescent="0.2"/>
    <row r="22" spans="1:2" ht="12.75" customHeight="1" x14ac:dyDescent="0.2"/>
    <row r="23" spans="1:2" ht="12.75" customHeight="1" x14ac:dyDescent="0.2"/>
    <row r="24" spans="1:2" ht="12.75" customHeight="1" x14ac:dyDescent="0.2"/>
    <row r="25" spans="1:2" ht="12.75" customHeight="1" x14ac:dyDescent="0.2"/>
    <row r="26" spans="1:2" ht="12.75" customHeight="1" x14ac:dyDescent="0.2"/>
    <row r="27" spans="1:2" ht="12.75" customHeight="1" x14ac:dyDescent="0.2"/>
    <row r="28" spans="1:2" ht="12.75" customHeight="1" x14ac:dyDescent="0.2"/>
    <row r="29" spans="1:2" ht="12.75" customHeight="1" x14ac:dyDescent="0.2"/>
    <row r="30" spans="1:2" ht="12.75" customHeight="1" x14ac:dyDescent="0.2"/>
    <row r="31" spans="1:2" ht="12.75" customHeight="1" x14ac:dyDescent="0.2"/>
    <row r="32" spans="1: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&amp;CEvaluación del Proyecto Cálculo del VAN y la TIR</oddHeader>
    <oddFooter>&amp;Rwww.emprenautas.com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1000"/>
  <sheetViews>
    <sheetView workbookViewId="0">
      <selection activeCell="E12" sqref="E12"/>
    </sheetView>
  </sheetViews>
  <sheetFormatPr baseColWidth="10" defaultColWidth="12.5703125" defaultRowHeight="15" customHeight="1" x14ac:dyDescent="0.2"/>
  <cols>
    <col min="1" max="1" width="22.85546875" customWidth="1"/>
    <col min="2" max="2" width="13.85546875" customWidth="1"/>
    <col min="3" max="3" width="3.140625" customWidth="1"/>
    <col min="4" max="4" width="22.7109375" customWidth="1"/>
    <col min="5" max="5" width="14.140625" customWidth="1"/>
    <col min="6" max="26" width="10" customWidth="1"/>
  </cols>
  <sheetData>
    <row r="1" spans="1:6" ht="20.25" customHeight="1" x14ac:dyDescent="0.3">
      <c r="A1" s="6"/>
      <c r="D1" s="7" t="str">
        <f>Productos!G1</f>
        <v>Heladería DANG</v>
      </c>
    </row>
    <row r="2" spans="1:6" ht="13.5" customHeight="1" x14ac:dyDescent="0.2"/>
    <row r="3" spans="1:6" ht="12.75" customHeight="1" x14ac:dyDescent="0.2">
      <c r="A3" s="311" t="s">
        <v>247</v>
      </c>
      <c r="B3" s="210"/>
      <c r="C3" s="211"/>
      <c r="D3" s="312" t="s">
        <v>248</v>
      </c>
      <c r="E3" s="211"/>
    </row>
    <row r="4" spans="1:6" ht="12.75" customHeight="1" x14ac:dyDescent="0.2">
      <c r="A4" s="313" t="s">
        <v>249</v>
      </c>
      <c r="B4" s="131">
        <f>Flujo!M35</f>
        <v>1902978367.7163272</v>
      </c>
      <c r="C4" s="314"/>
      <c r="D4" s="6" t="s">
        <v>250</v>
      </c>
      <c r="E4" s="129">
        <f>Pagos!O17</f>
        <v>310750000</v>
      </c>
    </row>
    <row r="5" spans="1:6" ht="12.75" customHeight="1" x14ac:dyDescent="0.2">
      <c r="A5" s="313" t="s">
        <v>251</v>
      </c>
      <c r="B5" s="131">
        <f>Cobranzas!O17</f>
        <v>415072500</v>
      </c>
      <c r="C5" s="129"/>
      <c r="D5" s="131" t="s">
        <v>221</v>
      </c>
      <c r="E5" s="129">
        <f>SUM(Gastos!N5:N6)+SUM(Gastos!N31:N33)</f>
        <v>10475000</v>
      </c>
      <c r="F5" s="131"/>
    </row>
    <row r="6" spans="1:6" ht="12.75" customHeight="1" x14ac:dyDescent="0.2">
      <c r="A6" s="313" t="s">
        <v>252</v>
      </c>
      <c r="B6" s="131">
        <f>Produccion!F100</f>
        <v>-1247139560</v>
      </c>
      <c r="C6" s="129"/>
      <c r="D6" s="131" t="s">
        <v>253</v>
      </c>
      <c r="E6" s="315">
        <f>Resultado!B28</f>
        <v>241788030.54659331</v>
      </c>
      <c r="F6" s="131"/>
    </row>
    <row r="7" spans="1:6" ht="12.75" customHeight="1" x14ac:dyDescent="0.2">
      <c r="A7" s="313" t="s">
        <v>254</v>
      </c>
      <c r="B7" s="276">
        <f>Compras!F64</f>
        <v>32549400</v>
      </c>
      <c r="C7" s="129"/>
      <c r="D7" s="8" t="s">
        <v>255</v>
      </c>
      <c r="E7" s="129">
        <f>SUM(E4:E6)</f>
        <v>563013030.54659331</v>
      </c>
      <c r="F7" s="131"/>
    </row>
    <row r="8" spans="1:6" ht="12.75" customHeight="1" x14ac:dyDescent="0.2">
      <c r="A8" s="316" t="s">
        <v>256</v>
      </c>
      <c r="B8" s="131">
        <f>SUM(B4:B7)</f>
        <v>1103460707.7163272</v>
      </c>
      <c r="C8" s="129"/>
      <c r="D8" s="6"/>
      <c r="E8" s="314"/>
      <c r="F8" s="131"/>
    </row>
    <row r="9" spans="1:6" ht="12.75" customHeight="1" x14ac:dyDescent="0.2">
      <c r="A9" s="313"/>
      <c r="B9" s="6"/>
      <c r="C9" s="129"/>
      <c r="D9" s="131" t="s">
        <v>257</v>
      </c>
      <c r="E9" s="315">
        <f>+PRESTAMO!F20</f>
        <v>8494318.8563489094</v>
      </c>
      <c r="F9" s="131"/>
    </row>
    <row r="10" spans="1:6" ht="12.75" customHeight="1" x14ac:dyDescent="0.2">
      <c r="A10" s="313"/>
      <c r="B10" s="6"/>
      <c r="C10" s="314"/>
      <c r="D10" s="317" t="s">
        <v>258</v>
      </c>
      <c r="E10" s="129">
        <f>E9</f>
        <v>8494318.8563489094</v>
      </c>
      <c r="F10" s="131"/>
    </row>
    <row r="11" spans="1:6" ht="12.75" customHeight="1" x14ac:dyDescent="0.2">
      <c r="A11" s="313"/>
      <c r="B11" s="6"/>
      <c r="C11" s="314"/>
      <c r="D11" s="6"/>
      <c r="E11" s="314"/>
      <c r="F11" s="131"/>
    </row>
    <row r="12" spans="1:6" ht="13.5" customHeight="1" x14ac:dyDescent="0.2">
      <c r="A12" s="313"/>
      <c r="B12" s="6"/>
      <c r="C12" s="314"/>
      <c r="D12" s="8" t="s">
        <v>259</v>
      </c>
      <c r="E12" s="318">
        <f>E7+E10</f>
        <v>571507349.40294218</v>
      </c>
      <c r="F12" s="131"/>
    </row>
    <row r="13" spans="1:6" ht="13.5" customHeight="1" x14ac:dyDescent="0.2">
      <c r="A13" s="313"/>
      <c r="B13" s="6"/>
      <c r="C13" s="314"/>
      <c r="D13" s="6"/>
      <c r="E13" s="314"/>
      <c r="F13" s="131"/>
    </row>
    <row r="14" spans="1:6" ht="12.75" customHeight="1" x14ac:dyDescent="0.2">
      <c r="A14" s="313"/>
      <c r="B14" s="6"/>
      <c r="C14" s="129"/>
      <c r="D14" s="273" t="s">
        <v>260</v>
      </c>
      <c r="E14" s="129"/>
      <c r="F14" s="131"/>
    </row>
    <row r="15" spans="1:6" ht="12.75" customHeight="1" x14ac:dyDescent="0.2">
      <c r="A15" s="313" t="s">
        <v>261</v>
      </c>
      <c r="B15" s="131">
        <f>+Inversiones!C24</f>
        <v>7000000</v>
      </c>
      <c r="C15" s="129"/>
      <c r="D15" s="131" t="s">
        <v>187</v>
      </c>
      <c r="E15" s="129">
        <f>+Flujo!B33</f>
        <v>80000</v>
      </c>
      <c r="F15" s="131"/>
    </row>
    <row r="16" spans="1:6" ht="12.75" customHeight="1" x14ac:dyDescent="0.2">
      <c r="A16" s="313" t="s">
        <v>262</v>
      </c>
      <c r="B16" s="276">
        <f>-Gastos!O13</f>
        <v>-700000</v>
      </c>
      <c r="C16" s="129"/>
      <c r="D16" s="131" t="s">
        <v>263</v>
      </c>
      <c r="E16" s="315">
        <f>Resultado!B30</f>
        <v>538173358.31338513</v>
      </c>
      <c r="F16" s="131"/>
    </row>
    <row r="17" spans="1:6" ht="12.75" customHeight="1" x14ac:dyDescent="0.2">
      <c r="A17" s="316" t="s">
        <v>264</v>
      </c>
      <c r="B17" s="131">
        <f>SUM(B15:B16)</f>
        <v>6300000</v>
      </c>
      <c r="C17" s="129"/>
      <c r="D17" s="131"/>
      <c r="E17" s="129">
        <f>SUM(E15:E16)</f>
        <v>538253358.31338513</v>
      </c>
      <c r="F17" s="131"/>
    </row>
    <row r="18" spans="1:6" ht="13.5" customHeight="1" x14ac:dyDescent="0.2">
      <c r="A18" s="313"/>
      <c r="B18" s="319"/>
      <c r="C18" s="129"/>
      <c r="D18" s="131"/>
      <c r="E18" s="320"/>
      <c r="F18" s="131"/>
    </row>
    <row r="19" spans="1:6" ht="14.25" customHeight="1" x14ac:dyDescent="0.2">
      <c r="A19" s="214" t="s">
        <v>265</v>
      </c>
      <c r="B19" s="321">
        <f>B8+B17</f>
        <v>1109760707.7163272</v>
      </c>
      <c r="C19" s="130"/>
      <c r="D19" s="321" t="s">
        <v>266</v>
      </c>
      <c r="E19" s="130">
        <f>E12+E17</f>
        <v>1109760707.7163272</v>
      </c>
      <c r="F19" s="131"/>
    </row>
    <row r="20" spans="1:6" ht="12.75" customHeight="1" x14ac:dyDescent="0.2">
      <c r="B20" s="131"/>
      <c r="C20" s="131"/>
      <c r="D20" s="131"/>
      <c r="E20" s="131"/>
      <c r="F20" s="131"/>
    </row>
    <row r="21" spans="1:6" ht="12.75" customHeight="1" x14ac:dyDescent="0.2"/>
    <row r="22" spans="1:6" ht="12.75" customHeight="1" x14ac:dyDescent="0.2"/>
    <row r="23" spans="1:6" ht="12.75" customHeight="1" x14ac:dyDescent="0.2"/>
    <row r="24" spans="1:6" ht="12.75" customHeight="1" x14ac:dyDescent="0.2"/>
    <row r="25" spans="1:6" ht="12.75" customHeight="1" x14ac:dyDescent="0.2"/>
    <row r="26" spans="1:6" ht="12.75" customHeight="1" x14ac:dyDescent="0.2"/>
    <row r="27" spans="1:6" ht="12.75" customHeight="1" x14ac:dyDescent="0.2"/>
    <row r="28" spans="1:6" ht="12.75" customHeight="1" x14ac:dyDescent="0.2"/>
    <row r="29" spans="1:6" ht="12.75" customHeight="1" x14ac:dyDescent="0.2"/>
    <row r="30" spans="1:6" ht="12.75" customHeight="1" x14ac:dyDescent="0.2"/>
    <row r="31" spans="1:6" ht="12.75" customHeight="1" x14ac:dyDescent="0.2"/>
    <row r="32" spans="1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&amp;CBalance de Control</oddHeader>
    <oddFooter>&amp;Rwww.emprenautas.com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workbookViewId="0"/>
  </sheetViews>
  <sheetFormatPr baseColWidth="10" defaultColWidth="12.5703125" defaultRowHeight="15" customHeight="1" x14ac:dyDescent="0.2"/>
  <cols>
    <col min="1" max="1" width="3.7109375" customWidth="1"/>
  </cols>
  <sheetData>
    <row r="1" spans="1:26" ht="1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x14ac:dyDescent="0.2">
      <c r="A7" s="4" t="s">
        <v>3</v>
      </c>
      <c r="B7" s="2" t="s">
        <v>0</v>
      </c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x14ac:dyDescent="0.2">
      <c r="A9" s="4" t="s">
        <v>4</v>
      </c>
      <c r="B9" s="2" t="s">
        <v>5</v>
      </c>
      <c r="C9" s="2"/>
      <c r="D9" s="2"/>
      <c r="E9" s="2"/>
      <c r="F9" s="2"/>
      <c r="G9" s="2"/>
      <c r="H9" s="2"/>
      <c r="I9" s="2"/>
      <c r="J9" s="2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x14ac:dyDescent="0.2">
      <c r="A10" s="4" t="s">
        <v>6</v>
      </c>
      <c r="B10" s="2"/>
      <c r="C10" s="2" t="s">
        <v>7</v>
      </c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x14ac:dyDescent="0.2">
      <c r="A11" s="4"/>
      <c r="B11" s="2"/>
      <c r="C11" s="2" t="s">
        <v>8</v>
      </c>
      <c r="D11" s="2"/>
      <c r="E11" s="2"/>
      <c r="F11" s="2"/>
      <c r="G11" s="2"/>
      <c r="H11" s="2"/>
      <c r="I11" s="2"/>
      <c r="J11" s="2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x14ac:dyDescent="0.2">
      <c r="A12" s="4"/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x14ac:dyDescent="0.2">
      <c r="A13" s="4"/>
      <c r="B13" s="2"/>
      <c r="C13" s="2" t="s">
        <v>10</v>
      </c>
      <c r="D13" s="2"/>
      <c r="E13" s="2"/>
      <c r="F13" s="2"/>
      <c r="G13" s="2"/>
      <c r="H13" s="2"/>
      <c r="I13" s="2"/>
      <c r="J13" s="2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x14ac:dyDescent="0.2">
      <c r="A14" s="4"/>
      <c r="B14" s="2"/>
      <c r="C14" s="2"/>
      <c r="D14" s="2"/>
      <c r="E14" s="2"/>
      <c r="F14" s="2"/>
      <c r="G14" s="2"/>
      <c r="H14" s="2"/>
      <c r="I14" s="2"/>
      <c r="J14" s="2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x14ac:dyDescent="0.2">
      <c r="A15" s="4" t="s">
        <v>11</v>
      </c>
      <c r="B15" s="2" t="s">
        <v>12</v>
      </c>
      <c r="C15" s="2"/>
      <c r="D15" s="2"/>
      <c r="E15" s="2"/>
      <c r="F15" s="2"/>
      <c r="G15" s="2"/>
      <c r="H15" s="2"/>
      <c r="I15" s="2"/>
      <c r="J15" s="2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x14ac:dyDescent="0.2">
      <c r="A16" s="4"/>
      <c r="B16" s="2"/>
      <c r="C16" s="2" t="s">
        <v>13</v>
      </c>
      <c r="D16" s="2"/>
      <c r="E16" s="2"/>
      <c r="F16" s="2"/>
      <c r="G16" s="2"/>
      <c r="H16" s="2"/>
      <c r="I16" s="2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x14ac:dyDescent="0.2">
      <c r="A17" s="4"/>
      <c r="B17" s="2"/>
      <c r="C17" s="2" t="s">
        <v>14</v>
      </c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x14ac:dyDescent="0.2">
      <c r="A18" s="4"/>
      <c r="B18" s="2"/>
      <c r="C18" s="2" t="s">
        <v>15</v>
      </c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x14ac:dyDescent="0.2">
      <c r="A19" s="4"/>
      <c r="B19" s="2"/>
      <c r="C19" s="2" t="s">
        <v>16</v>
      </c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x14ac:dyDescent="0.2">
      <c r="A20" s="4"/>
      <c r="B20" s="2"/>
      <c r="C20" s="2"/>
      <c r="D20" s="2"/>
      <c r="E20" s="2"/>
      <c r="F20" s="2"/>
      <c r="G20" s="2"/>
      <c r="H20" s="2"/>
      <c r="I20" s="2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4"/>
      <c r="B21" s="2"/>
      <c r="C21" s="2"/>
      <c r="D21" s="2"/>
      <c r="E21" s="2"/>
      <c r="F21" s="2"/>
      <c r="G21" s="2"/>
      <c r="H21" s="2"/>
      <c r="I21" s="2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4" t="s">
        <v>17</v>
      </c>
      <c r="B22" s="2" t="s">
        <v>18</v>
      </c>
      <c r="C22" s="2"/>
      <c r="D22" s="2"/>
      <c r="E22" s="2"/>
      <c r="F22" s="2"/>
      <c r="G22" s="2"/>
      <c r="H22" s="2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x14ac:dyDescent="0.2">
      <c r="A23" s="4"/>
      <c r="B23" s="2"/>
      <c r="C23" s="2" t="s">
        <v>19</v>
      </c>
      <c r="D23" s="2"/>
      <c r="E23" s="2"/>
      <c r="F23" s="2"/>
      <c r="G23" s="2"/>
      <c r="H23" s="2"/>
      <c r="I23" s="2"/>
      <c r="J23" s="2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x14ac:dyDescent="0.2">
      <c r="A24" s="4"/>
      <c r="B24" s="2"/>
      <c r="C24" s="2" t="s">
        <v>20</v>
      </c>
      <c r="D24" s="2"/>
      <c r="E24" s="2"/>
      <c r="F24" s="2"/>
      <c r="G24" s="2"/>
      <c r="H24" s="2"/>
      <c r="I24" s="2"/>
      <c r="J24" s="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x14ac:dyDescent="0.2">
      <c r="A25" s="4"/>
      <c r="B25" s="2"/>
      <c r="C25" s="2" t="s">
        <v>21</v>
      </c>
      <c r="D25" s="2"/>
      <c r="E25" s="2"/>
      <c r="F25" s="2"/>
      <c r="G25" s="2"/>
      <c r="H25" s="2"/>
      <c r="I25" s="2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x14ac:dyDescent="0.2">
      <c r="A26" s="4"/>
      <c r="B26" s="2"/>
      <c r="C26" s="2" t="s">
        <v>22</v>
      </c>
      <c r="D26" s="2"/>
      <c r="E26" s="2"/>
      <c r="F26" s="2"/>
      <c r="G26" s="2"/>
      <c r="H26" s="2"/>
      <c r="I26" s="2"/>
      <c r="J26" s="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x14ac:dyDescent="0.2">
      <c r="A27" s="4"/>
      <c r="B27" s="2"/>
      <c r="C27" s="2" t="s">
        <v>23</v>
      </c>
      <c r="D27" s="2"/>
      <c r="E27" s="2"/>
      <c r="F27" s="2"/>
      <c r="G27" s="2"/>
      <c r="H27" s="2"/>
      <c r="I27" s="2"/>
      <c r="J27" s="2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x14ac:dyDescent="0.2">
      <c r="A28" s="4"/>
      <c r="B28" s="2"/>
      <c r="C28" s="2"/>
      <c r="D28" s="2"/>
      <c r="E28" s="2"/>
      <c r="F28" s="2"/>
      <c r="G28" s="2"/>
      <c r="H28" s="2"/>
      <c r="I28" s="2"/>
      <c r="J28" s="2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x14ac:dyDescent="0.2">
      <c r="A29" s="4" t="s">
        <v>24</v>
      </c>
      <c r="B29" s="2" t="s">
        <v>25</v>
      </c>
      <c r="C29" s="2"/>
      <c r="D29" s="2"/>
      <c r="E29" s="2"/>
      <c r="F29" s="2"/>
      <c r="G29" s="2"/>
      <c r="H29" s="2"/>
      <c r="I29" s="2"/>
      <c r="J29" s="2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x14ac:dyDescent="0.2">
      <c r="A30" s="4"/>
      <c r="B30" s="3"/>
      <c r="C30" s="3"/>
      <c r="D30" s="2"/>
      <c r="E30" s="2"/>
      <c r="F30" s="2"/>
      <c r="G30" s="2"/>
      <c r="H30" s="2"/>
      <c r="I30" s="2"/>
      <c r="J30" s="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x14ac:dyDescent="0.2">
      <c r="A31" s="4"/>
      <c r="B31" s="2"/>
      <c r="C31" s="2" t="s">
        <v>26</v>
      </c>
      <c r="D31" s="2"/>
      <c r="E31" s="2"/>
      <c r="F31" s="2"/>
      <c r="G31" s="2"/>
      <c r="H31" s="2"/>
      <c r="I31" s="2"/>
      <c r="J31" s="2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x14ac:dyDescent="0.2">
      <c r="A32" s="4"/>
      <c r="B32" s="2"/>
      <c r="C32" s="2" t="s">
        <v>27</v>
      </c>
      <c r="D32" s="2"/>
      <c r="E32" s="2"/>
      <c r="F32" s="2"/>
      <c r="G32" s="2"/>
      <c r="H32" s="2"/>
      <c r="I32" s="2"/>
      <c r="J32" s="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x14ac:dyDescent="0.2">
      <c r="A33" s="4"/>
      <c r="B33" s="2"/>
      <c r="C33" s="2" t="s">
        <v>28</v>
      </c>
      <c r="D33" s="2"/>
      <c r="E33" s="2"/>
      <c r="F33" s="2"/>
      <c r="G33" s="2"/>
      <c r="H33" s="2"/>
      <c r="I33" s="2"/>
      <c r="J33" s="2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x14ac:dyDescent="0.2">
      <c r="A34" s="4"/>
      <c r="B34" s="2"/>
      <c r="C34" s="2"/>
      <c r="D34" s="2"/>
      <c r="E34" s="2"/>
      <c r="F34" s="2"/>
      <c r="G34" s="2"/>
      <c r="H34" s="2"/>
      <c r="I34" s="2"/>
      <c r="J34" s="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x14ac:dyDescent="0.2">
      <c r="A35" s="4" t="s">
        <v>29</v>
      </c>
      <c r="B35" s="2" t="s">
        <v>30</v>
      </c>
      <c r="C35" s="2"/>
      <c r="D35" s="2"/>
      <c r="E35" s="2"/>
      <c r="F35" s="2"/>
      <c r="G35" s="2"/>
      <c r="H35" s="2"/>
      <c r="I35" s="2"/>
      <c r="J35" s="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x14ac:dyDescent="0.2">
      <c r="A36" s="4"/>
      <c r="B36" s="2"/>
      <c r="C36" s="2"/>
      <c r="D36" s="2"/>
      <c r="E36" s="2"/>
      <c r="F36" s="2"/>
      <c r="G36" s="2"/>
      <c r="H36" s="2"/>
      <c r="I36" s="2"/>
      <c r="J36" s="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x14ac:dyDescent="0.2">
      <c r="A37" s="4"/>
      <c r="B37" s="2"/>
      <c r="C37" s="2" t="s">
        <v>31</v>
      </c>
      <c r="D37" s="2"/>
      <c r="E37" s="2"/>
      <c r="F37" s="2"/>
      <c r="G37" s="2"/>
      <c r="H37" s="2"/>
      <c r="I37" s="2"/>
      <c r="J37" s="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x14ac:dyDescent="0.2">
      <c r="A38" s="4"/>
      <c r="B38" s="2"/>
      <c r="C38" s="2" t="s">
        <v>32</v>
      </c>
      <c r="D38" s="2"/>
      <c r="E38" s="2"/>
      <c r="F38" s="2"/>
      <c r="G38" s="2"/>
      <c r="H38" s="2"/>
      <c r="I38" s="2"/>
      <c r="J38" s="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x14ac:dyDescent="0.2">
      <c r="A39" s="4"/>
      <c r="B39" s="2"/>
      <c r="C39" s="2"/>
      <c r="D39" s="2"/>
      <c r="E39" s="2"/>
      <c r="F39" s="2"/>
      <c r="G39" s="2"/>
      <c r="H39" s="2"/>
      <c r="I39" s="2"/>
      <c r="J39" s="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x14ac:dyDescent="0.2">
      <c r="A40" s="4" t="s">
        <v>33</v>
      </c>
      <c r="B40" s="2" t="s">
        <v>34</v>
      </c>
      <c r="C40" s="2"/>
      <c r="D40" s="2"/>
      <c r="E40" s="2"/>
      <c r="F40" s="2"/>
      <c r="G40" s="2"/>
      <c r="H40" s="2"/>
      <c r="I40" s="2"/>
      <c r="J40" s="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4"/>
      <c r="B41" s="2"/>
      <c r="C41" s="2"/>
      <c r="D41" s="2"/>
      <c r="E41" s="2"/>
      <c r="F41" s="2"/>
      <c r="G41" s="2"/>
      <c r="H41" s="2"/>
      <c r="I41" s="2"/>
      <c r="J41" s="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4" t="s">
        <v>35</v>
      </c>
      <c r="B42" s="2" t="s">
        <v>36</v>
      </c>
      <c r="C42" s="2"/>
      <c r="D42" s="2"/>
      <c r="E42" s="2"/>
      <c r="F42" s="2"/>
      <c r="G42" s="2"/>
      <c r="H42" s="2"/>
      <c r="I42" s="2"/>
      <c r="J42" s="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4"/>
      <c r="B43" s="2"/>
      <c r="C43" s="2"/>
      <c r="D43" s="2"/>
      <c r="E43" s="2"/>
      <c r="F43" s="2"/>
      <c r="G43" s="2"/>
      <c r="H43" s="2"/>
      <c r="I43" s="2"/>
      <c r="J43" s="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4" t="s">
        <v>37</v>
      </c>
      <c r="B44" s="2" t="s">
        <v>38</v>
      </c>
      <c r="C44" s="2"/>
      <c r="D44" s="2"/>
      <c r="E44" s="2"/>
      <c r="F44" s="2"/>
      <c r="G44" s="2"/>
      <c r="H44" s="2"/>
      <c r="I44" s="2"/>
      <c r="J44" s="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4"/>
      <c r="B45" s="2"/>
      <c r="C45" s="2"/>
      <c r="D45" s="2"/>
      <c r="E45" s="2"/>
      <c r="F45" s="2"/>
      <c r="G45" s="2"/>
      <c r="H45" s="2"/>
      <c r="I45" s="2"/>
      <c r="J45" s="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4" t="s">
        <v>39</v>
      </c>
      <c r="B46" s="2" t="s">
        <v>40</v>
      </c>
      <c r="C46" s="2"/>
      <c r="D46" s="2"/>
      <c r="E46" s="2"/>
      <c r="F46" s="2"/>
      <c r="G46" s="2"/>
      <c r="H46" s="2"/>
      <c r="I46" s="2"/>
      <c r="J46" s="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4"/>
      <c r="B47" s="2"/>
      <c r="C47" s="2"/>
      <c r="D47" s="2"/>
      <c r="E47" s="2"/>
      <c r="F47" s="2"/>
      <c r="G47" s="2"/>
      <c r="H47" s="2"/>
      <c r="I47" s="2"/>
      <c r="J47" s="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4" t="s">
        <v>41</v>
      </c>
      <c r="B48" s="2" t="s">
        <v>42</v>
      </c>
      <c r="C48" s="2"/>
      <c r="D48" s="2"/>
      <c r="E48" s="2"/>
      <c r="F48" s="2"/>
      <c r="G48" s="2"/>
      <c r="H48" s="2"/>
      <c r="I48" s="2"/>
      <c r="J48" s="2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4"/>
      <c r="B49" s="2"/>
      <c r="C49" s="2"/>
      <c r="D49" s="2"/>
      <c r="E49" s="2"/>
      <c r="F49" s="2"/>
      <c r="G49" s="2"/>
      <c r="H49" s="2"/>
      <c r="I49" s="2"/>
      <c r="J49" s="2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4"/>
      <c r="B50" s="2"/>
      <c r="C50" s="2" t="s">
        <v>43</v>
      </c>
      <c r="D50" s="2"/>
      <c r="E50" s="2"/>
      <c r="F50" s="2"/>
      <c r="G50" s="2"/>
      <c r="H50" s="2"/>
      <c r="I50" s="2"/>
      <c r="J50" s="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4"/>
      <c r="B51" s="2"/>
      <c r="C51" s="2" t="s">
        <v>44</v>
      </c>
      <c r="D51" s="2"/>
      <c r="E51" s="2"/>
      <c r="F51" s="2"/>
      <c r="G51" s="2"/>
      <c r="H51" s="2"/>
      <c r="I51" s="2"/>
      <c r="J51" s="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4"/>
      <c r="B53" s="2"/>
      <c r="C53" s="2" t="s">
        <v>45</v>
      </c>
      <c r="D53" s="2"/>
      <c r="E53" s="2"/>
      <c r="F53" s="2"/>
      <c r="G53" s="2"/>
      <c r="H53" s="2"/>
      <c r="I53" s="2"/>
      <c r="J53" s="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4"/>
      <c r="B54" s="2"/>
      <c r="C54" s="2" t="s">
        <v>46</v>
      </c>
      <c r="D54" s="2"/>
      <c r="E54" s="2"/>
      <c r="F54" s="2"/>
      <c r="G54" s="2"/>
      <c r="H54" s="2"/>
      <c r="I54" s="2"/>
      <c r="J54" s="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4"/>
      <c r="B55" s="2"/>
      <c r="C55" s="2"/>
      <c r="D55" s="2"/>
      <c r="E55" s="2"/>
      <c r="F55" s="2"/>
      <c r="G55" s="2"/>
      <c r="H55" s="2"/>
      <c r="I55" s="2"/>
      <c r="J55" s="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4"/>
      <c r="B56" s="2"/>
      <c r="C56" s="2" t="s">
        <v>47</v>
      </c>
      <c r="D56" s="2"/>
      <c r="E56" s="2"/>
      <c r="F56" s="2"/>
      <c r="G56" s="2"/>
      <c r="H56" s="2"/>
      <c r="I56" s="2"/>
      <c r="J56" s="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4"/>
      <c r="B57" s="2"/>
      <c r="C57" s="2" t="s">
        <v>48</v>
      </c>
      <c r="D57" s="2"/>
      <c r="E57" s="2"/>
      <c r="F57" s="2"/>
      <c r="G57" s="2"/>
      <c r="H57" s="2"/>
      <c r="I57" s="2"/>
      <c r="J57" s="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4"/>
      <c r="B58" s="2"/>
      <c r="C58" s="2"/>
      <c r="D58" s="2"/>
      <c r="E58" s="2"/>
      <c r="F58" s="2"/>
      <c r="G58" s="2"/>
      <c r="H58" s="2"/>
      <c r="I58" s="2"/>
      <c r="J58" s="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4"/>
      <c r="B59" s="2"/>
      <c r="C59" s="2" t="s">
        <v>49</v>
      </c>
      <c r="D59" s="2"/>
      <c r="E59" s="2"/>
      <c r="F59" s="2"/>
      <c r="G59" s="2"/>
      <c r="H59" s="2"/>
      <c r="I59" s="2"/>
      <c r="J59" s="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4"/>
      <c r="B60" s="2"/>
      <c r="C60" s="2" t="s">
        <v>50</v>
      </c>
      <c r="D60" s="2"/>
      <c r="E60" s="2"/>
      <c r="F60" s="2"/>
      <c r="G60" s="2"/>
      <c r="H60" s="2"/>
      <c r="I60" s="2"/>
      <c r="J60" s="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4"/>
      <c r="B61" s="2"/>
      <c r="C61" s="3"/>
      <c r="D61" s="2"/>
      <c r="E61" s="2"/>
      <c r="F61" s="2"/>
      <c r="G61" s="2"/>
      <c r="H61" s="2"/>
      <c r="I61" s="2"/>
      <c r="J61" s="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4"/>
      <c r="B62" s="2"/>
      <c r="C62" s="3"/>
      <c r="D62" s="2"/>
      <c r="E62" s="2"/>
      <c r="F62" s="2"/>
      <c r="G62" s="2"/>
      <c r="H62" s="2"/>
      <c r="I62" s="2"/>
      <c r="J62" s="2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4"/>
      <c r="B63" s="2"/>
      <c r="C63" s="2"/>
      <c r="D63" s="2"/>
      <c r="E63" s="2"/>
      <c r="F63" s="2"/>
      <c r="G63" s="2"/>
      <c r="H63" s="2"/>
      <c r="I63" s="2"/>
      <c r="J63" s="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4"/>
      <c r="B64" s="2"/>
      <c r="C64" s="3"/>
      <c r="D64" s="2"/>
      <c r="E64" s="2"/>
      <c r="F64" s="2"/>
      <c r="G64" s="2"/>
      <c r="H64" s="2"/>
      <c r="I64" s="2"/>
      <c r="J64" s="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4"/>
      <c r="B65" s="2"/>
      <c r="C65" s="3"/>
      <c r="D65" s="2"/>
      <c r="E65" s="2"/>
      <c r="F65" s="2"/>
      <c r="G65" s="2"/>
      <c r="H65" s="2"/>
      <c r="I65" s="2"/>
      <c r="J65" s="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4"/>
      <c r="B66" s="2"/>
      <c r="C66" s="2"/>
      <c r="D66" s="2"/>
      <c r="E66" s="2"/>
      <c r="F66" s="2"/>
      <c r="G66" s="2"/>
      <c r="H66" s="2"/>
      <c r="I66" s="2"/>
      <c r="J66" s="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3"/>
      <c r="C67" s="3"/>
      <c r="D67" s="3"/>
      <c r="E67" s="3"/>
      <c r="F67" s="3"/>
      <c r="G67" s="3"/>
      <c r="H67" s="2"/>
      <c r="I67" s="2"/>
      <c r="J67" s="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3"/>
      <c r="C68" s="3"/>
      <c r="D68" s="3"/>
      <c r="E68" s="3"/>
      <c r="F68" s="3"/>
      <c r="G68" s="3"/>
      <c r="H68" s="2"/>
      <c r="I68" s="2"/>
      <c r="J68" s="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3"/>
      <c r="C69" s="3"/>
      <c r="D69" s="3"/>
      <c r="E69" s="3"/>
      <c r="F69" s="3"/>
      <c r="G69" s="3"/>
      <c r="H69" s="3"/>
      <c r="I69" s="2"/>
      <c r="J69" s="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4"/>
      <c r="B70" s="2"/>
      <c r="C70" s="2"/>
      <c r="D70" s="2"/>
      <c r="E70" s="2"/>
      <c r="F70" s="2"/>
      <c r="G70" s="2"/>
      <c r="H70" s="3"/>
      <c r="I70" s="2"/>
      <c r="J70" s="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5"/>
      <c r="B71" s="3"/>
      <c r="C71" s="3"/>
      <c r="D71" s="3"/>
      <c r="E71" s="3"/>
      <c r="F71" s="3"/>
      <c r="G71" s="3"/>
      <c r="H71" s="3"/>
      <c r="I71" s="2"/>
      <c r="J71" s="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3"/>
      <c r="C72" s="3"/>
      <c r="D72" s="3"/>
      <c r="E72" s="3"/>
      <c r="F72" s="3"/>
      <c r="G72" s="3"/>
      <c r="H72" s="2"/>
      <c r="I72" s="2"/>
      <c r="J72" s="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H73" s="2"/>
      <c r="I73" s="2"/>
      <c r="J73" s="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H74" s="2"/>
      <c r="I74" s="2"/>
      <c r="J74" s="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3"/>
      <c r="C75" s="3"/>
      <c r="D75" s="3"/>
      <c r="E75" s="3"/>
      <c r="F75" s="3"/>
      <c r="G75" s="3"/>
      <c r="H75" s="2"/>
      <c r="I75" s="2"/>
      <c r="J75" s="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3"/>
      <c r="C76" s="3"/>
      <c r="D76" s="3"/>
      <c r="E76" s="3"/>
      <c r="F76" s="3"/>
      <c r="G76" s="3"/>
      <c r="H76" s="2"/>
      <c r="I76" s="2"/>
      <c r="J76" s="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3"/>
      <c r="C77" s="3"/>
      <c r="D77" s="3"/>
      <c r="E77" s="3"/>
      <c r="F77" s="3"/>
      <c r="G77" s="3"/>
      <c r="H77" s="2"/>
      <c r="I77" s="2"/>
      <c r="J77" s="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3"/>
      <c r="C78" s="3"/>
      <c r="D78" s="3"/>
      <c r="E78" s="3"/>
      <c r="F78" s="3"/>
      <c r="G78" s="3"/>
      <c r="H78" s="2"/>
      <c r="I78" s="2"/>
      <c r="J78" s="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3"/>
      <c r="C79" s="3"/>
      <c r="D79" s="3"/>
      <c r="E79" s="3"/>
      <c r="F79" s="3"/>
      <c r="G79" s="3"/>
      <c r="H79" s="2"/>
      <c r="I79" s="2"/>
      <c r="J79" s="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3"/>
      <c r="C80" s="3"/>
      <c r="D80" s="3"/>
      <c r="E80" s="3"/>
      <c r="F80" s="3"/>
      <c r="G80" s="3"/>
      <c r="H80" s="2"/>
      <c r="I80" s="2"/>
      <c r="J80" s="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3"/>
      <c r="C81" s="3"/>
      <c r="D81" s="3"/>
      <c r="E81" s="3"/>
      <c r="F81" s="3"/>
      <c r="G81" s="3"/>
      <c r="H81" s="2"/>
      <c r="I81" s="2"/>
      <c r="J81" s="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3"/>
      <c r="C82" s="3"/>
      <c r="D82" s="3"/>
      <c r="E82" s="3"/>
      <c r="F82" s="3"/>
      <c r="G82" s="3"/>
      <c r="H82" s="2"/>
      <c r="I82" s="2"/>
      <c r="J82" s="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3"/>
      <c r="C83" s="3"/>
      <c r="D83" s="3"/>
      <c r="E83" s="3"/>
      <c r="F83" s="3"/>
      <c r="G83" s="3"/>
      <c r="H83" s="2"/>
      <c r="I83" s="2"/>
      <c r="J83" s="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5"/>
      <c r="B84" s="3"/>
      <c r="C84" s="3"/>
      <c r="D84" s="3"/>
      <c r="E84" s="3"/>
      <c r="F84" s="3"/>
      <c r="G84" s="3"/>
      <c r="H84" s="2"/>
      <c r="I84" s="2"/>
      <c r="J84" s="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5"/>
      <c r="B85" s="3"/>
      <c r="C85" s="3"/>
      <c r="D85" s="3"/>
      <c r="E85" s="3"/>
      <c r="F85" s="3"/>
      <c r="G85" s="3"/>
      <c r="H85" s="2"/>
      <c r="I85" s="2"/>
      <c r="J85" s="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3"/>
      <c r="C86" s="3"/>
      <c r="D86" s="3"/>
      <c r="E86" s="3"/>
      <c r="F86" s="3"/>
      <c r="G86" s="3"/>
      <c r="H86" s="3"/>
      <c r="I86" s="3"/>
      <c r="J86" s="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3"/>
      <c r="C87" s="3"/>
      <c r="D87" s="3"/>
      <c r="E87" s="3"/>
      <c r="F87" s="3"/>
      <c r="G87" s="3"/>
      <c r="H87" s="3"/>
      <c r="I87" s="3"/>
      <c r="J87" s="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3"/>
      <c r="C88" s="3"/>
      <c r="D88" s="3"/>
      <c r="E88" s="3"/>
      <c r="F88" s="3"/>
      <c r="G88" s="3"/>
      <c r="H88" s="3"/>
      <c r="I88" s="3"/>
      <c r="J88" s="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3"/>
      <c r="C89" s="3"/>
      <c r="D89" s="3"/>
      <c r="E89" s="3"/>
      <c r="F89" s="3"/>
      <c r="G89" s="3"/>
      <c r="H89" s="3"/>
      <c r="I89" s="3"/>
      <c r="J89" s="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3"/>
      <c r="C90" s="3"/>
      <c r="D90" s="3"/>
      <c r="E90" s="3"/>
      <c r="F90" s="3"/>
      <c r="G90" s="3"/>
      <c r="H90" s="3"/>
      <c r="I90" s="3"/>
      <c r="J90" s="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3"/>
      <c r="C91" s="3"/>
      <c r="D91" s="3"/>
      <c r="E91" s="3"/>
      <c r="F91" s="3"/>
      <c r="G91" s="3"/>
      <c r="H91" s="3"/>
      <c r="I91" s="3"/>
      <c r="J91" s="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3"/>
      <c r="C92" s="3"/>
      <c r="D92" s="3"/>
      <c r="E92" s="3"/>
      <c r="F92" s="3"/>
      <c r="G92" s="3"/>
      <c r="H92" s="3"/>
      <c r="I92" s="3"/>
      <c r="J92" s="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3"/>
      <c r="C93" s="3"/>
      <c r="D93" s="3"/>
      <c r="E93" s="3"/>
      <c r="F93" s="3"/>
      <c r="G93" s="3"/>
      <c r="H93" s="3"/>
      <c r="I93" s="3"/>
      <c r="J93" s="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3"/>
      <c r="C94" s="3"/>
      <c r="D94" s="3"/>
      <c r="E94" s="3"/>
      <c r="F94" s="3"/>
      <c r="G94" s="3"/>
      <c r="H94" s="3"/>
      <c r="I94" s="3"/>
      <c r="J94" s="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3"/>
      <c r="C95" s="3"/>
      <c r="D95" s="3"/>
      <c r="E95" s="3"/>
      <c r="F95" s="3"/>
      <c r="G95" s="3"/>
      <c r="H95" s="3"/>
      <c r="I95" s="3"/>
      <c r="J95" s="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3"/>
      <c r="C96" s="3"/>
      <c r="D96" s="3"/>
      <c r="E96" s="3"/>
      <c r="F96" s="3"/>
      <c r="G96" s="3"/>
      <c r="H96" s="3"/>
      <c r="I96" s="3"/>
      <c r="J96" s="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3"/>
      <c r="C97" s="3"/>
      <c r="D97" s="3"/>
      <c r="E97" s="3"/>
      <c r="F97" s="3"/>
      <c r="G97" s="3"/>
      <c r="H97" s="3"/>
      <c r="I97" s="3"/>
      <c r="J97" s="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00"/>
  <sheetViews>
    <sheetView workbookViewId="0"/>
  </sheetViews>
  <sheetFormatPr baseColWidth="10" defaultColWidth="12.5703125" defaultRowHeight="15" customHeight="1" x14ac:dyDescent="0.2"/>
  <cols>
    <col min="1" max="1" width="3.7109375" customWidth="1"/>
    <col min="2" max="2" width="30.7109375" customWidth="1"/>
    <col min="3" max="4" width="10.7109375" customWidth="1"/>
    <col min="5" max="26" width="10" customWidth="1"/>
  </cols>
  <sheetData>
    <row r="1" spans="1:9" ht="20.25" customHeight="1" x14ac:dyDescent="0.3">
      <c r="A1" s="6"/>
      <c r="G1" s="7" t="s">
        <v>51</v>
      </c>
    </row>
    <row r="2" spans="1:9" ht="12.75" customHeight="1" x14ac:dyDescent="0.2"/>
    <row r="3" spans="1:9" ht="13.5" customHeight="1" x14ac:dyDescent="0.2">
      <c r="B3" s="8" t="s">
        <v>52</v>
      </c>
    </row>
    <row r="4" spans="1:9" ht="13.5" customHeight="1" x14ac:dyDescent="0.2">
      <c r="E4" s="9"/>
      <c r="F4" s="10"/>
      <c r="G4" s="10"/>
      <c r="H4" s="10"/>
      <c r="I4" s="11"/>
    </row>
    <row r="5" spans="1:9" ht="40.5" customHeight="1" x14ac:dyDescent="0.2">
      <c r="A5" s="12" t="s">
        <v>53</v>
      </c>
      <c r="B5" s="13" t="s">
        <v>54</v>
      </c>
      <c r="C5" s="14" t="s">
        <v>55</v>
      </c>
      <c r="D5" s="15" t="s">
        <v>56</v>
      </c>
      <c r="E5" s="16" t="str">
        <f>"Cantidad "&amp;$E$21&amp;" en "&amp;$C$21</f>
        <v>Cantidad Leche en Litros</v>
      </c>
      <c r="F5" s="14" t="str">
        <f>"Cantidad "&amp;$E$22&amp;" en "&amp;$C$22</f>
        <v>Cantidad Crema en Kilos</v>
      </c>
      <c r="G5" s="14" t="str">
        <f>"Cantidad "&amp;$E$23&amp;" en "&amp;$C$23</f>
        <v>Cantidad Azucar en Kilos</v>
      </c>
      <c r="H5" s="14" t="str">
        <f>"Cantidad "&amp;$E$24&amp;" en "&amp;$C$24</f>
        <v>Cantidad Fruta en Kilos</v>
      </c>
      <c r="I5" s="15" t="str">
        <f>"Cantidad "&amp;$E$25&amp;" en "&amp;$C$25</f>
        <v>Cantidad Otros en Pesos</v>
      </c>
    </row>
    <row r="6" spans="1:9" ht="12.75" customHeight="1" x14ac:dyDescent="0.2">
      <c r="A6" s="17">
        <v>1</v>
      </c>
      <c r="B6" s="18" t="s">
        <v>57</v>
      </c>
      <c r="C6" s="19" t="s">
        <v>58</v>
      </c>
      <c r="D6" s="20">
        <v>70000</v>
      </c>
      <c r="E6" s="21">
        <v>8</v>
      </c>
      <c r="F6" s="22">
        <v>2</v>
      </c>
      <c r="G6" s="22">
        <v>4</v>
      </c>
      <c r="H6" s="22">
        <v>0</v>
      </c>
      <c r="I6" s="23">
        <v>6</v>
      </c>
    </row>
    <row r="7" spans="1:9" ht="12.75" customHeight="1" x14ac:dyDescent="0.2">
      <c r="A7" s="17">
        <v>2</v>
      </c>
      <c r="B7" s="18" t="s">
        <v>59</v>
      </c>
      <c r="C7" s="19" t="s">
        <v>58</v>
      </c>
      <c r="D7" s="24">
        <v>85000</v>
      </c>
      <c r="E7" s="21">
        <v>8</v>
      </c>
      <c r="F7" s="22">
        <v>2</v>
      </c>
      <c r="G7" s="22">
        <v>4</v>
      </c>
      <c r="H7" s="22">
        <v>2</v>
      </c>
      <c r="I7" s="23">
        <v>6</v>
      </c>
    </row>
    <row r="8" spans="1:9" ht="12.75" customHeight="1" x14ac:dyDescent="0.2">
      <c r="A8" s="17">
        <v>3</v>
      </c>
      <c r="B8" s="18" t="s">
        <v>60</v>
      </c>
      <c r="C8" s="19" t="s">
        <v>61</v>
      </c>
      <c r="D8" s="24">
        <v>35000</v>
      </c>
      <c r="E8" s="21">
        <v>4.5</v>
      </c>
      <c r="F8" s="22">
        <v>0.5</v>
      </c>
      <c r="G8" s="22">
        <v>2</v>
      </c>
      <c r="H8" s="22">
        <v>0</v>
      </c>
      <c r="I8" s="23">
        <v>2</v>
      </c>
    </row>
    <row r="9" spans="1:9" ht="12.75" customHeight="1" x14ac:dyDescent="0.2">
      <c r="A9" s="17">
        <v>4</v>
      </c>
      <c r="B9" s="18" t="s">
        <v>62</v>
      </c>
      <c r="C9" s="19" t="s">
        <v>61</v>
      </c>
      <c r="D9" s="24">
        <v>35000</v>
      </c>
      <c r="E9" s="21">
        <v>4.2</v>
      </c>
      <c r="F9" s="22">
        <v>0.5</v>
      </c>
      <c r="G9" s="22">
        <v>2</v>
      </c>
      <c r="H9" s="22">
        <v>0</v>
      </c>
      <c r="I9" s="23">
        <v>2</v>
      </c>
    </row>
    <row r="10" spans="1:9" ht="12.75" customHeight="1" x14ac:dyDescent="0.2">
      <c r="A10" s="17">
        <v>5</v>
      </c>
      <c r="B10" s="18" t="s">
        <v>63</v>
      </c>
      <c r="C10" s="18" t="s">
        <v>64</v>
      </c>
      <c r="D10" s="24">
        <v>14000</v>
      </c>
      <c r="E10" s="21">
        <v>1.5</v>
      </c>
      <c r="F10" s="22">
        <v>0.5</v>
      </c>
      <c r="G10" s="22">
        <v>1</v>
      </c>
      <c r="H10" s="22">
        <v>0</v>
      </c>
      <c r="I10" s="23">
        <v>0.2</v>
      </c>
    </row>
    <row r="11" spans="1:9" ht="12.75" customHeight="1" x14ac:dyDescent="0.2">
      <c r="A11" s="17">
        <v>6</v>
      </c>
      <c r="B11" s="18" t="s">
        <v>65</v>
      </c>
      <c r="C11" s="18" t="s">
        <v>64</v>
      </c>
      <c r="D11" s="24">
        <v>17000</v>
      </c>
      <c r="E11" s="21">
        <v>1.5</v>
      </c>
      <c r="F11" s="22">
        <v>0.5</v>
      </c>
      <c r="G11" s="22">
        <v>1</v>
      </c>
      <c r="H11" s="22">
        <v>0.5</v>
      </c>
      <c r="I11" s="23">
        <v>0.2</v>
      </c>
    </row>
    <row r="12" spans="1:9" ht="12.75" customHeight="1" x14ac:dyDescent="0.2">
      <c r="A12" s="17">
        <v>7</v>
      </c>
      <c r="B12" s="18" t="s">
        <v>66</v>
      </c>
      <c r="C12" s="18" t="s">
        <v>64</v>
      </c>
      <c r="D12" s="24">
        <v>14000</v>
      </c>
      <c r="E12" s="21">
        <v>1.5</v>
      </c>
      <c r="F12" s="22">
        <v>0.5</v>
      </c>
      <c r="G12" s="22">
        <v>1</v>
      </c>
      <c r="H12" s="22">
        <v>0</v>
      </c>
      <c r="I12" s="23">
        <v>0.2</v>
      </c>
    </row>
    <row r="13" spans="1:9" ht="12.75" customHeight="1" x14ac:dyDescent="0.2">
      <c r="A13" s="17">
        <v>8</v>
      </c>
      <c r="B13" s="18" t="s">
        <v>67</v>
      </c>
      <c r="C13" s="18" t="s">
        <v>68</v>
      </c>
      <c r="D13" s="24">
        <v>7000</v>
      </c>
      <c r="E13" s="21">
        <v>0.75</v>
      </c>
      <c r="F13" s="22">
        <v>0.25</v>
      </c>
      <c r="G13" s="22">
        <v>0.5</v>
      </c>
      <c r="H13" s="22">
        <v>0</v>
      </c>
      <c r="I13" s="23">
        <v>0.1</v>
      </c>
    </row>
    <row r="14" spans="1:9" ht="12.75" customHeight="1" x14ac:dyDescent="0.2">
      <c r="A14" s="17">
        <v>9</v>
      </c>
      <c r="B14" s="18" t="s">
        <v>69</v>
      </c>
      <c r="C14" s="18" t="s">
        <v>68</v>
      </c>
      <c r="D14" s="24">
        <v>10000</v>
      </c>
      <c r="E14" s="21">
        <v>0.75</v>
      </c>
      <c r="F14" s="22">
        <v>0.25</v>
      </c>
      <c r="G14" s="22">
        <v>0.5</v>
      </c>
      <c r="H14" s="22">
        <v>0.25</v>
      </c>
      <c r="I14" s="23">
        <v>0.1</v>
      </c>
    </row>
    <row r="15" spans="1:9" ht="13.5" customHeight="1" x14ac:dyDescent="0.2">
      <c r="A15" s="25">
        <v>10</v>
      </c>
      <c r="B15" s="26" t="s">
        <v>70</v>
      </c>
      <c r="C15" s="26" t="s">
        <v>68</v>
      </c>
      <c r="D15" s="27">
        <v>7000</v>
      </c>
      <c r="E15" s="28">
        <v>0.75</v>
      </c>
      <c r="F15" s="29">
        <v>0.25</v>
      </c>
      <c r="G15" s="29">
        <v>0.5</v>
      </c>
      <c r="H15" s="29">
        <v>0</v>
      </c>
      <c r="I15" s="30">
        <v>0.1</v>
      </c>
    </row>
    <row r="16" spans="1:9" ht="12.75" customHeight="1" x14ac:dyDescent="0.2"/>
    <row r="17" spans="1:11" ht="12.75" customHeight="1" x14ac:dyDescent="0.2">
      <c r="B17" s="31"/>
    </row>
    <row r="18" spans="1:11" ht="12.75" customHeight="1" x14ac:dyDescent="0.2">
      <c r="B18" s="8" t="s">
        <v>71</v>
      </c>
    </row>
    <row r="19" spans="1:11" ht="13.5" customHeight="1" x14ac:dyDescent="0.2"/>
    <row r="20" spans="1:11" ht="26.25" customHeight="1" x14ac:dyDescent="0.2">
      <c r="A20" s="12" t="s">
        <v>53</v>
      </c>
      <c r="B20" s="13" t="s">
        <v>54</v>
      </c>
      <c r="C20" s="14" t="s">
        <v>55</v>
      </c>
      <c r="D20" s="14" t="s">
        <v>72</v>
      </c>
      <c r="E20" s="32" t="s">
        <v>73</v>
      </c>
    </row>
    <row r="21" spans="1:11" ht="12.75" customHeight="1" x14ac:dyDescent="0.2">
      <c r="A21" s="17">
        <v>1</v>
      </c>
      <c r="B21" s="18" t="s">
        <v>74</v>
      </c>
      <c r="C21" s="18" t="s">
        <v>75</v>
      </c>
      <c r="D21" s="33">
        <v>1800</v>
      </c>
      <c r="E21" s="34" t="s">
        <v>74</v>
      </c>
      <c r="G21" s="35" t="s">
        <v>76</v>
      </c>
    </row>
    <row r="22" spans="1:11" ht="12.75" customHeight="1" x14ac:dyDescent="0.2">
      <c r="A22" s="17">
        <v>2</v>
      </c>
      <c r="B22" s="18" t="s">
        <v>77</v>
      </c>
      <c r="C22" s="18" t="s">
        <v>78</v>
      </c>
      <c r="D22" s="33">
        <v>4500</v>
      </c>
      <c r="E22" s="34" t="s">
        <v>77</v>
      </c>
    </row>
    <row r="23" spans="1:11" ht="12.75" customHeight="1" x14ac:dyDescent="0.2">
      <c r="A23" s="17">
        <v>3</v>
      </c>
      <c r="B23" s="18" t="s">
        <v>79</v>
      </c>
      <c r="C23" s="18" t="s">
        <v>78</v>
      </c>
      <c r="D23" s="33">
        <v>1500</v>
      </c>
      <c r="E23" s="34" t="s">
        <v>79</v>
      </c>
    </row>
    <row r="24" spans="1:11" ht="12.75" customHeight="1" x14ac:dyDescent="0.2">
      <c r="A24" s="17">
        <v>4</v>
      </c>
      <c r="B24" s="18" t="s">
        <v>80</v>
      </c>
      <c r="C24" s="18" t="s">
        <v>78</v>
      </c>
      <c r="D24" s="33">
        <v>8000</v>
      </c>
      <c r="E24" s="34" t="s">
        <v>81</v>
      </c>
    </row>
    <row r="25" spans="1:11" ht="13.5" customHeight="1" x14ac:dyDescent="0.2">
      <c r="A25" s="25">
        <v>5</v>
      </c>
      <c r="B25" s="26" t="s">
        <v>82</v>
      </c>
      <c r="C25" s="26" t="s">
        <v>83</v>
      </c>
      <c r="D25" s="36">
        <v>5000</v>
      </c>
      <c r="E25" s="37" t="s">
        <v>82</v>
      </c>
    </row>
    <row r="26" spans="1:11" ht="12.75" customHeight="1" x14ac:dyDescent="0.2"/>
    <row r="27" spans="1:11" ht="12.75" customHeight="1" x14ac:dyDescent="0.2"/>
    <row r="28" spans="1:11" ht="12.75" customHeight="1" x14ac:dyDescent="0.2">
      <c r="E28" s="6"/>
      <c r="F28" s="6"/>
      <c r="G28" s="6"/>
      <c r="H28" s="6"/>
      <c r="I28" s="6"/>
    </row>
    <row r="29" spans="1:11" ht="13.5" customHeight="1" x14ac:dyDescent="0.2">
      <c r="E29" s="6"/>
      <c r="F29" s="6"/>
      <c r="G29" s="6"/>
      <c r="H29" s="6"/>
      <c r="I29" s="6"/>
    </row>
    <row r="30" spans="1:11" ht="26.25" customHeight="1" x14ac:dyDescent="0.2">
      <c r="A30" s="38" t="s">
        <v>53</v>
      </c>
      <c r="B30" s="13" t="s">
        <v>54</v>
      </c>
      <c r="C30" s="14" t="s">
        <v>55</v>
      </c>
      <c r="D30" s="14" t="s">
        <v>56</v>
      </c>
      <c r="E30" s="39" t="s">
        <v>84</v>
      </c>
      <c r="F30" s="14" t="s">
        <v>85</v>
      </c>
      <c r="G30" s="14" t="str">
        <f>"Costo "&amp;$E$21</f>
        <v>Costo Leche</v>
      </c>
      <c r="H30" s="14" t="str">
        <f>"Costo "&amp;$E$22</f>
        <v>Costo Crema</v>
      </c>
      <c r="I30" s="14" t="str">
        <f>"Costo "&amp;$E$23</f>
        <v>Costo Azucar</v>
      </c>
      <c r="J30" s="14" t="str">
        <f>"Costo "&amp;$E$24</f>
        <v>Costo Fruta</v>
      </c>
      <c r="K30" s="15" t="str">
        <f>"Costo "&amp;$E$25</f>
        <v>Costo Otros</v>
      </c>
    </row>
    <row r="31" spans="1:11" ht="12.75" customHeight="1" x14ac:dyDescent="0.2">
      <c r="A31" s="17">
        <v>1</v>
      </c>
      <c r="B31" s="18" t="str">
        <f t="shared" ref="B31:D31" si="0">B6</f>
        <v>Helado por 10 litros liso</v>
      </c>
      <c r="C31" s="18" t="str">
        <f t="shared" si="0"/>
        <v xml:space="preserve">Barril </v>
      </c>
      <c r="D31" s="33">
        <f t="shared" si="0"/>
        <v>70000</v>
      </c>
      <c r="E31" s="40">
        <f t="shared" ref="E31:E40" si="1">SUM(G31:K31)</f>
        <v>59400</v>
      </c>
      <c r="F31" s="41">
        <f t="shared" ref="F31:F40" si="2">IF(E31=0,"",(D31-E31)/E31)</f>
        <v>0.17845117845117844</v>
      </c>
      <c r="G31" s="40">
        <f t="shared" ref="G31:G40" si="3">E6*$D$21</f>
        <v>14400</v>
      </c>
      <c r="H31" s="40">
        <f t="shared" ref="H31:H40" si="4">F6*$D$22</f>
        <v>9000</v>
      </c>
      <c r="I31" s="40">
        <f t="shared" ref="I31:I40" si="5">G6*$D$23</f>
        <v>6000</v>
      </c>
      <c r="J31" s="40">
        <f t="shared" ref="J31:J40" si="6">H6*$D$24</f>
        <v>0</v>
      </c>
      <c r="K31" s="42">
        <f t="shared" ref="K31:K40" si="7">I6*$D$25</f>
        <v>30000</v>
      </c>
    </row>
    <row r="32" spans="1:11" ht="12.75" customHeight="1" x14ac:dyDescent="0.2">
      <c r="A32" s="17">
        <v>2</v>
      </c>
      <c r="B32" s="18" t="str">
        <f t="shared" ref="B32:D32" si="8">B7</f>
        <v>Helado por 10 litros con Fruta</v>
      </c>
      <c r="C32" s="18" t="str">
        <f t="shared" si="8"/>
        <v xml:space="preserve">Barril </v>
      </c>
      <c r="D32" s="33">
        <f t="shared" si="8"/>
        <v>85000</v>
      </c>
      <c r="E32" s="40">
        <f t="shared" si="1"/>
        <v>75400</v>
      </c>
      <c r="F32" s="41">
        <f t="shared" si="2"/>
        <v>0.1273209549071618</v>
      </c>
      <c r="G32" s="40">
        <f t="shared" si="3"/>
        <v>14400</v>
      </c>
      <c r="H32" s="40">
        <f t="shared" si="4"/>
        <v>9000</v>
      </c>
      <c r="I32" s="40">
        <f t="shared" si="5"/>
        <v>6000</v>
      </c>
      <c r="J32" s="40">
        <f t="shared" si="6"/>
        <v>16000</v>
      </c>
      <c r="K32" s="42">
        <f t="shared" si="7"/>
        <v>30000</v>
      </c>
    </row>
    <row r="33" spans="1:11" ht="12.75" customHeight="1" x14ac:dyDescent="0.2">
      <c r="A33" s="17">
        <v>3</v>
      </c>
      <c r="B33" s="18" t="str">
        <f t="shared" ref="B33:D33" si="9">B8</f>
        <v>Helado por 5 litros</v>
      </c>
      <c r="C33" s="18" t="str">
        <f t="shared" si="9"/>
        <v>Balde 5 lt.</v>
      </c>
      <c r="D33" s="33">
        <f t="shared" si="9"/>
        <v>35000</v>
      </c>
      <c r="E33" s="40">
        <f t="shared" si="1"/>
        <v>23350</v>
      </c>
      <c r="F33" s="41">
        <f t="shared" si="2"/>
        <v>0.49892933618843682</v>
      </c>
      <c r="G33" s="40">
        <f t="shared" si="3"/>
        <v>8100</v>
      </c>
      <c r="H33" s="40">
        <f t="shared" si="4"/>
        <v>2250</v>
      </c>
      <c r="I33" s="40">
        <f t="shared" si="5"/>
        <v>3000</v>
      </c>
      <c r="J33" s="40">
        <f t="shared" si="6"/>
        <v>0</v>
      </c>
      <c r="K33" s="42">
        <f t="shared" si="7"/>
        <v>10000</v>
      </c>
    </row>
    <row r="34" spans="1:11" ht="12.75" customHeight="1" x14ac:dyDescent="0.2">
      <c r="A34" s="17">
        <v>4</v>
      </c>
      <c r="B34" s="18" t="str">
        <f t="shared" ref="B34:D34" si="10">B9</f>
        <v>Balde 5 litros 2 sabores</v>
      </c>
      <c r="C34" s="18" t="str">
        <f t="shared" si="10"/>
        <v>Balde 5 lt.</v>
      </c>
      <c r="D34" s="33">
        <f t="shared" si="10"/>
        <v>35000</v>
      </c>
      <c r="E34" s="40">
        <f t="shared" si="1"/>
        <v>22810</v>
      </c>
      <c r="F34" s="41">
        <f t="shared" si="2"/>
        <v>0.53441473038141163</v>
      </c>
      <c r="G34" s="40">
        <f t="shared" si="3"/>
        <v>7560</v>
      </c>
      <c r="H34" s="40">
        <f t="shared" si="4"/>
        <v>2250</v>
      </c>
      <c r="I34" s="40">
        <f t="shared" si="5"/>
        <v>3000</v>
      </c>
      <c r="J34" s="40">
        <f t="shared" si="6"/>
        <v>0</v>
      </c>
      <c r="K34" s="42">
        <f t="shared" si="7"/>
        <v>10000</v>
      </c>
    </row>
    <row r="35" spans="1:11" ht="12.75" customHeight="1" x14ac:dyDescent="0.2">
      <c r="A35" s="17">
        <v>5</v>
      </c>
      <c r="B35" s="18" t="str">
        <f t="shared" ref="B35:D35" si="11">B10</f>
        <v>Helado 2 litros liso</v>
      </c>
      <c r="C35" s="18" t="str">
        <f t="shared" si="11"/>
        <v>Balde 2 lt.</v>
      </c>
      <c r="D35" s="33">
        <f t="shared" si="11"/>
        <v>14000</v>
      </c>
      <c r="E35" s="40">
        <f t="shared" si="1"/>
        <v>7450</v>
      </c>
      <c r="F35" s="41">
        <f t="shared" si="2"/>
        <v>0.87919463087248317</v>
      </c>
      <c r="G35" s="40">
        <f t="shared" si="3"/>
        <v>2700</v>
      </c>
      <c r="H35" s="40">
        <f t="shared" si="4"/>
        <v>2250</v>
      </c>
      <c r="I35" s="40">
        <f t="shared" si="5"/>
        <v>1500</v>
      </c>
      <c r="J35" s="40">
        <f t="shared" si="6"/>
        <v>0</v>
      </c>
      <c r="K35" s="42">
        <f t="shared" si="7"/>
        <v>1000</v>
      </c>
    </row>
    <row r="36" spans="1:11" ht="12.75" customHeight="1" x14ac:dyDescent="0.2">
      <c r="A36" s="17">
        <v>6</v>
      </c>
      <c r="B36" s="18" t="str">
        <f t="shared" ref="B36:D36" si="12">B11</f>
        <v>Helado 2 litros con Fruta</v>
      </c>
      <c r="C36" s="18" t="str">
        <f t="shared" si="12"/>
        <v>Balde 2 lt.</v>
      </c>
      <c r="D36" s="33">
        <f t="shared" si="12"/>
        <v>17000</v>
      </c>
      <c r="E36" s="40">
        <f t="shared" si="1"/>
        <v>11450</v>
      </c>
      <c r="F36" s="41">
        <f t="shared" si="2"/>
        <v>0.48471615720524019</v>
      </c>
      <c r="G36" s="40">
        <f t="shared" si="3"/>
        <v>2700</v>
      </c>
      <c r="H36" s="40">
        <f t="shared" si="4"/>
        <v>2250</v>
      </c>
      <c r="I36" s="40">
        <f t="shared" si="5"/>
        <v>1500</v>
      </c>
      <c r="J36" s="40">
        <f t="shared" si="6"/>
        <v>4000</v>
      </c>
      <c r="K36" s="42">
        <f t="shared" si="7"/>
        <v>1000</v>
      </c>
    </row>
    <row r="37" spans="1:11" ht="12.75" customHeight="1" x14ac:dyDescent="0.2">
      <c r="A37" s="17">
        <v>7</v>
      </c>
      <c r="B37" s="18" t="str">
        <f t="shared" ref="B37:D37" si="13">B12</f>
        <v>Helado 2 litros 2 sabores</v>
      </c>
      <c r="C37" s="18" t="str">
        <f t="shared" si="13"/>
        <v>Balde 2 lt.</v>
      </c>
      <c r="D37" s="33">
        <f t="shared" si="13"/>
        <v>14000</v>
      </c>
      <c r="E37" s="40">
        <f t="shared" si="1"/>
        <v>7450</v>
      </c>
      <c r="F37" s="41">
        <f t="shared" si="2"/>
        <v>0.87919463087248317</v>
      </c>
      <c r="G37" s="40">
        <f t="shared" si="3"/>
        <v>2700</v>
      </c>
      <c r="H37" s="40">
        <f t="shared" si="4"/>
        <v>2250</v>
      </c>
      <c r="I37" s="40">
        <f t="shared" si="5"/>
        <v>1500</v>
      </c>
      <c r="J37" s="40">
        <f t="shared" si="6"/>
        <v>0</v>
      </c>
      <c r="K37" s="42">
        <f t="shared" si="7"/>
        <v>1000</v>
      </c>
    </row>
    <row r="38" spans="1:11" ht="12.75" customHeight="1" x14ac:dyDescent="0.2">
      <c r="A38" s="17">
        <v>8</v>
      </c>
      <c r="B38" s="18" t="str">
        <f t="shared" ref="B38:D38" si="14">B13</f>
        <v>Helado 1 litro liso</v>
      </c>
      <c r="C38" s="18" t="str">
        <f t="shared" si="14"/>
        <v>Vaso 1 lt.</v>
      </c>
      <c r="D38" s="33">
        <f t="shared" si="14"/>
        <v>7000</v>
      </c>
      <c r="E38" s="40">
        <f t="shared" si="1"/>
        <v>3725</v>
      </c>
      <c r="F38" s="41">
        <f t="shared" si="2"/>
        <v>0.87919463087248317</v>
      </c>
      <c r="G38" s="40">
        <f t="shared" si="3"/>
        <v>1350</v>
      </c>
      <c r="H38" s="40">
        <f t="shared" si="4"/>
        <v>1125</v>
      </c>
      <c r="I38" s="40">
        <f t="shared" si="5"/>
        <v>750</v>
      </c>
      <c r="J38" s="40">
        <f t="shared" si="6"/>
        <v>0</v>
      </c>
      <c r="K38" s="42">
        <f t="shared" si="7"/>
        <v>500</v>
      </c>
    </row>
    <row r="39" spans="1:11" ht="12.75" customHeight="1" x14ac:dyDescent="0.2">
      <c r="A39" s="17">
        <v>9</v>
      </c>
      <c r="B39" s="18" t="str">
        <f t="shared" ref="B39:D39" si="15">B14</f>
        <v>Helado 1 litro con Fruta</v>
      </c>
      <c r="C39" s="18" t="str">
        <f t="shared" si="15"/>
        <v>Vaso 1 lt.</v>
      </c>
      <c r="D39" s="33">
        <f t="shared" si="15"/>
        <v>10000</v>
      </c>
      <c r="E39" s="40">
        <f t="shared" si="1"/>
        <v>5725</v>
      </c>
      <c r="F39" s="41">
        <f t="shared" si="2"/>
        <v>0.74672489082969429</v>
      </c>
      <c r="G39" s="40">
        <f t="shared" si="3"/>
        <v>1350</v>
      </c>
      <c r="H39" s="40">
        <f t="shared" si="4"/>
        <v>1125</v>
      </c>
      <c r="I39" s="40">
        <f t="shared" si="5"/>
        <v>750</v>
      </c>
      <c r="J39" s="40">
        <f t="shared" si="6"/>
        <v>2000</v>
      </c>
      <c r="K39" s="42">
        <f t="shared" si="7"/>
        <v>500</v>
      </c>
    </row>
    <row r="40" spans="1:11" ht="13.5" customHeight="1" x14ac:dyDescent="0.2">
      <c r="A40" s="25">
        <v>10</v>
      </c>
      <c r="B40" s="26" t="str">
        <f t="shared" ref="B40:D40" si="16">B15</f>
        <v>Helado 1 litro 2 sabores</v>
      </c>
      <c r="C40" s="26" t="str">
        <f t="shared" si="16"/>
        <v>Vaso 1 lt.</v>
      </c>
      <c r="D40" s="36">
        <f t="shared" si="16"/>
        <v>7000</v>
      </c>
      <c r="E40" s="43">
        <f t="shared" si="1"/>
        <v>3725</v>
      </c>
      <c r="F40" s="44">
        <f t="shared" si="2"/>
        <v>0.87919463087248317</v>
      </c>
      <c r="G40" s="43">
        <f t="shared" si="3"/>
        <v>1350</v>
      </c>
      <c r="H40" s="43">
        <f t="shared" si="4"/>
        <v>1125</v>
      </c>
      <c r="I40" s="43">
        <f t="shared" si="5"/>
        <v>750</v>
      </c>
      <c r="J40" s="43">
        <f t="shared" si="6"/>
        <v>0</v>
      </c>
      <c r="K40" s="45">
        <f t="shared" si="7"/>
        <v>500</v>
      </c>
    </row>
    <row r="41" spans="1:11" ht="12.75" customHeight="1" x14ac:dyDescent="0.2"/>
    <row r="42" spans="1:11" ht="12.75" customHeight="1" x14ac:dyDescent="0.2"/>
    <row r="43" spans="1:11" ht="12.75" customHeight="1" x14ac:dyDescent="0.2"/>
    <row r="44" spans="1:11" ht="12.75" customHeight="1" x14ac:dyDescent="0.2"/>
    <row r="45" spans="1:11" ht="12.75" customHeight="1" x14ac:dyDescent="0.2"/>
    <row r="46" spans="1:11" ht="12.75" customHeight="1" x14ac:dyDescent="0.2"/>
    <row r="47" spans="1:11" ht="12.75" customHeight="1" x14ac:dyDescent="0.2"/>
    <row r="48" spans="1:1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&amp;CListado de Productos</oddHeader>
    <oddFooter>&amp;Rwww.emprenautas.com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2.5703125" defaultRowHeight="15" customHeight="1" x14ac:dyDescent="0.2"/>
  <cols>
    <col min="1" max="1" width="3.7109375" customWidth="1"/>
    <col min="2" max="2" width="30.7109375" customWidth="1"/>
    <col min="3" max="7" width="10.140625" customWidth="1"/>
    <col min="8" max="14" width="8.7109375" customWidth="1"/>
    <col min="15" max="15" width="10.7109375" customWidth="1"/>
    <col min="16" max="16" width="9.5703125" customWidth="1"/>
    <col min="17" max="26" width="10" customWidth="1"/>
  </cols>
  <sheetData>
    <row r="1" spans="1:26" ht="20.25" customHeight="1" x14ac:dyDescent="0.3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 t="str">
        <f>Productos!G1</f>
        <v>Heladería DANG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spans="1:26" ht="13.5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ht="13.5" customHeight="1" x14ac:dyDescent="0.2">
      <c r="A3" s="49" t="s">
        <v>53</v>
      </c>
      <c r="B3" s="14" t="s">
        <v>86</v>
      </c>
      <c r="C3" s="14" t="s">
        <v>87</v>
      </c>
      <c r="D3" s="14" t="s">
        <v>88</v>
      </c>
      <c r="E3" s="14" t="s">
        <v>89</v>
      </c>
      <c r="F3" s="14" t="s">
        <v>90</v>
      </c>
      <c r="G3" s="14" t="s">
        <v>91</v>
      </c>
      <c r="H3" s="14" t="s">
        <v>92</v>
      </c>
      <c r="I3" s="14" t="s">
        <v>93</v>
      </c>
      <c r="J3" s="14" t="s">
        <v>94</v>
      </c>
      <c r="K3" s="14" t="s">
        <v>95</v>
      </c>
      <c r="L3" s="14" t="s">
        <v>96</v>
      </c>
      <c r="M3" s="14" t="s">
        <v>97</v>
      </c>
      <c r="N3" s="14" t="s">
        <v>98</v>
      </c>
      <c r="O3" s="50" t="s">
        <v>99</v>
      </c>
      <c r="P3" s="51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spans="1:26" ht="12.75" customHeight="1" x14ac:dyDescent="0.2">
      <c r="A4" s="52">
        <v>1</v>
      </c>
      <c r="B4" s="53" t="str">
        <f>Productos!B6</f>
        <v>Helado por 10 litros liso</v>
      </c>
      <c r="C4" s="54">
        <v>1294</v>
      </c>
      <c r="D4" s="54">
        <v>1256</v>
      </c>
      <c r="E4" s="54">
        <v>1145</v>
      </c>
      <c r="F4" s="54">
        <v>1275</v>
      </c>
      <c r="G4" s="54">
        <v>1115</v>
      </c>
      <c r="H4" s="54">
        <v>1015</v>
      </c>
      <c r="I4" s="54">
        <v>1150</v>
      </c>
      <c r="J4" s="54">
        <v>1187</v>
      </c>
      <c r="K4" s="54">
        <v>1240</v>
      </c>
      <c r="L4" s="54">
        <v>1193</v>
      </c>
      <c r="M4" s="54">
        <v>995</v>
      </c>
      <c r="N4" s="54">
        <v>944</v>
      </c>
      <c r="O4" s="55">
        <f t="shared" ref="O4:O13" si="0">SUM(C4:N4)</f>
        <v>13809</v>
      </c>
      <c r="P4" s="56" t="str">
        <f>Productos!C6</f>
        <v xml:space="preserve">Barril </v>
      </c>
      <c r="Q4" s="57"/>
      <c r="R4" s="47"/>
      <c r="S4" s="47"/>
      <c r="T4" s="47"/>
      <c r="U4" s="47"/>
      <c r="V4" s="47"/>
      <c r="W4" s="47"/>
      <c r="X4" s="47"/>
      <c r="Y4" s="47"/>
      <c r="Z4" s="47"/>
    </row>
    <row r="5" spans="1:26" ht="12.75" customHeight="1" x14ac:dyDescent="0.2">
      <c r="A5" s="58">
        <v>2</v>
      </c>
      <c r="B5" s="53" t="str">
        <f>Productos!B7</f>
        <v>Helado por 10 litros con Fruta</v>
      </c>
      <c r="C5" s="59">
        <v>1032</v>
      </c>
      <c r="D5" s="59">
        <v>1232</v>
      </c>
      <c r="E5" s="59">
        <v>1039</v>
      </c>
      <c r="F5" s="59">
        <v>1186</v>
      </c>
      <c r="G5" s="59">
        <v>1218</v>
      </c>
      <c r="H5" s="59">
        <v>1226</v>
      </c>
      <c r="I5" s="59">
        <v>1284</v>
      </c>
      <c r="J5" s="59">
        <v>1049</v>
      </c>
      <c r="K5" s="59">
        <v>1022</v>
      </c>
      <c r="L5" s="59">
        <v>1218</v>
      </c>
      <c r="M5" s="59">
        <v>1020</v>
      </c>
      <c r="N5" s="59">
        <v>1234</v>
      </c>
      <c r="O5" s="60">
        <f t="shared" si="0"/>
        <v>13760</v>
      </c>
      <c r="P5" s="61" t="str">
        <f>Productos!C7</f>
        <v xml:space="preserve">Barril </v>
      </c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12.75" customHeight="1" x14ac:dyDescent="0.2">
      <c r="A6" s="58">
        <v>3</v>
      </c>
      <c r="B6" s="53" t="str">
        <f>Productos!B8</f>
        <v>Helado por 5 litros</v>
      </c>
      <c r="C6" s="59">
        <v>1226</v>
      </c>
      <c r="D6" s="59">
        <v>1276</v>
      </c>
      <c r="E6" s="59">
        <v>900</v>
      </c>
      <c r="F6" s="59">
        <v>1020</v>
      </c>
      <c r="G6" s="59">
        <v>1187</v>
      </c>
      <c r="H6" s="59">
        <v>1248</v>
      </c>
      <c r="I6" s="59">
        <v>1097</v>
      </c>
      <c r="J6" s="59">
        <v>917</v>
      </c>
      <c r="K6" s="59">
        <v>955</v>
      </c>
      <c r="L6" s="59">
        <v>957</v>
      </c>
      <c r="M6" s="59">
        <v>930</v>
      </c>
      <c r="N6" s="59">
        <v>1134</v>
      </c>
      <c r="O6" s="60">
        <f t="shared" si="0"/>
        <v>12847</v>
      </c>
      <c r="P6" s="61" t="str">
        <f>Productos!C8</f>
        <v>Balde 5 lt.</v>
      </c>
      <c r="Q6" s="57"/>
      <c r="R6" s="47"/>
      <c r="S6" s="47"/>
      <c r="T6" s="47"/>
      <c r="U6" s="47"/>
      <c r="V6" s="47"/>
      <c r="W6" s="47"/>
      <c r="X6" s="47"/>
      <c r="Y6" s="47"/>
      <c r="Z6" s="47"/>
    </row>
    <row r="7" spans="1:26" ht="12.75" customHeight="1" x14ac:dyDescent="0.2">
      <c r="A7" s="58">
        <v>4</v>
      </c>
      <c r="B7" s="53" t="str">
        <f>Productos!B9</f>
        <v>Balde 5 litros 2 sabores</v>
      </c>
      <c r="C7" s="59">
        <v>1082</v>
      </c>
      <c r="D7" s="59">
        <v>1002</v>
      </c>
      <c r="E7" s="59">
        <v>924</v>
      </c>
      <c r="F7" s="59">
        <v>1274</v>
      </c>
      <c r="G7" s="59">
        <v>1176</v>
      </c>
      <c r="H7" s="59">
        <v>1238</v>
      </c>
      <c r="I7" s="59">
        <v>1076</v>
      </c>
      <c r="J7" s="59">
        <v>1063</v>
      </c>
      <c r="K7" s="59">
        <v>1032</v>
      </c>
      <c r="L7" s="59">
        <v>938</v>
      </c>
      <c r="M7" s="59">
        <v>992</v>
      </c>
      <c r="N7" s="59">
        <v>1129</v>
      </c>
      <c r="O7" s="60">
        <f t="shared" si="0"/>
        <v>12926</v>
      </c>
      <c r="P7" s="61" t="str">
        <f>Productos!C9</f>
        <v>Balde 5 lt.</v>
      </c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.75" customHeight="1" x14ac:dyDescent="0.2">
      <c r="A8" s="58">
        <v>5</v>
      </c>
      <c r="B8" s="53" t="str">
        <f>Productos!B10</f>
        <v>Helado 2 litros liso</v>
      </c>
      <c r="C8" s="59">
        <v>1083</v>
      </c>
      <c r="D8" s="59">
        <v>1263</v>
      </c>
      <c r="E8" s="59">
        <v>1049</v>
      </c>
      <c r="F8" s="59">
        <v>1072</v>
      </c>
      <c r="G8" s="59">
        <v>1174</v>
      </c>
      <c r="H8" s="59">
        <v>1059</v>
      </c>
      <c r="I8" s="59">
        <v>1012</v>
      </c>
      <c r="J8" s="59">
        <v>1082</v>
      </c>
      <c r="K8" s="59">
        <v>1024</v>
      </c>
      <c r="L8" s="59">
        <v>1275</v>
      </c>
      <c r="M8" s="59">
        <v>1146</v>
      </c>
      <c r="N8" s="59">
        <v>1289</v>
      </c>
      <c r="O8" s="60">
        <f t="shared" si="0"/>
        <v>13528</v>
      </c>
      <c r="P8" s="61" t="str">
        <f>Productos!C10</f>
        <v>Balde 2 lt.</v>
      </c>
      <c r="Q8" s="47"/>
      <c r="R8" s="47"/>
      <c r="S8" s="47"/>
      <c r="T8" s="47"/>
      <c r="U8" s="47"/>
      <c r="V8" s="47"/>
      <c r="W8" s="47"/>
      <c r="X8" s="47"/>
      <c r="Y8" s="47"/>
      <c r="Z8" s="47"/>
    </row>
    <row r="9" spans="1:26" ht="12.75" customHeight="1" x14ac:dyDescent="0.2">
      <c r="A9" s="58">
        <v>6</v>
      </c>
      <c r="B9" s="53" t="str">
        <f>Productos!B11</f>
        <v>Helado 2 litros con Fruta</v>
      </c>
      <c r="C9" s="59">
        <v>1197</v>
      </c>
      <c r="D9" s="59">
        <v>1122</v>
      </c>
      <c r="E9" s="59">
        <v>1037</v>
      </c>
      <c r="F9" s="59">
        <v>1126</v>
      </c>
      <c r="G9" s="59">
        <v>1010</v>
      </c>
      <c r="H9" s="59">
        <v>909</v>
      </c>
      <c r="I9" s="59">
        <v>940</v>
      </c>
      <c r="J9" s="59">
        <v>1023</v>
      </c>
      <c r="K9" s="59">
        <v>1202</v>
      </c>
      <c r="L9" s="59">
        <v>1121</v>
      </c>
      <c r="M9" s="59">
        <v>1050</v>
      </c>
      <c r="N9" s="59">
        <v>1237</v>
      </c>
      <c r="O9" s="60">
        <f t="shared" si="0"/>
        <v>12974</v>
      </c>
      <c r="P9" s="61" t="str">
        <f>Productos!C11</f>
        <v>Balde 2 lt.</v>
      </c>
      <c r="Q9" s="47"/>
      <c r="R9" s="47"/>
      <c r="S9" s="47"/>
      <c r="T9" s="47"/>
      <c r="U9" s="47"/>
      <c r="V9" s="47"/>
      <c r="W9" s="47"/>
      <c r="X9" s="47"/>
      <c r="Y9" s="47"/>
      <c r="Z9" s="47"/>
    </row>
    <row r="10" spans="1:26" ht="12.75" customHeight="1" x14ac:dyDescent="0.2">
      <c r="A10" s="58">
        <v>7</v>
      </c>
      <c r="B10" s="53" t="str">
        <f>Productos!B12</f>
        <v>Helado 2 litros 2 sabores</v>
      </c>
      <c r="C10" s="59">
        <v>1128</v>
      </c>
      <c r="D10" s="59">
        <v>988</v>
      </c>
      <c r="E10" s="59">
        <v>927</v>
      </c>
      <c r="F10" s="59">
        <v>1188</v>
      </c>
      <c r="G10" s="59">
        <v>1197</v>
      </c>
      <c r="H10" s="59">
        <v>1003</v>
      </c>
      <c r="I10" s="59">
        <v>1122</v>
      </c>
      <c r="J10" s="59">
        <v>908</v>
      </c>
      <c r="K10" s="59">
        <v>1076</v>
      </c>
      <c r="L10" s="59">
        <v>1140</v>
      </c>
      <c r="M10" s="59">
        <v>1228</v>
      </c>
      <c r="N10" s="59">
        <v>1058</v>
      </c>
      <c r="O10" s="60">
        <f t="shared" si="0"/>
        <v>12963</v>
      </c>
      <c r="P10" s="61" t="str">
        <f>Productos!C12</f>
        <v>Balde 2 lt.</v>
      </c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2.75" customHeight="1" x14ac:dyDescent="0.2">
      <c r="A11" s="58">
        <v>8</v>
      </c>
      <c r="B11" s="53" t="str">
        <f>Productos!B13</f>
        <v>Helado 1 litro liso</v>
      </c>
      <c r="C11" s="59">
        <v>1158</v>
      </c>
      <c r="D11" s="59">
        <v>1086</v>
      </c>
      <c r="E11" s="59">
        <v>1072</v>
      </c>
      <c r="F11" s="59">
        <v>933</v>
      </c>
      <c r="G11" s="59">
        <v>1033</v>
      </c>
      <c r="H11" s="59">
        <v>1119</v>
      </c>
      <c r="I11" s="59">
        <v>906</v>
      </c>
      <c r="J11" s="59">
        <v>1105</v>
      </c>
      <c r="K11" s="59">
        <v>1299</v>
      </c>
      <c r="L11" s="59">
        <v>1101</v>
      </c>
      <c r="M11" s="59">
        <v>1111</v>
      </c>
      <c r="N11" s="59">
        <v>1007</v>
      </c>
      <c r="O11" s="60">
        <f t="shared" si="0"/>
        <v>12930</v>
      </c>
      <c r="P11" s="61" t="str">
        <f>Productos!C13</f>
        <v>Vaso 1 lt.</v>
      </c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26" ht="12.75" customHeight="1" x14ac:dyDescent="0.2">
      <c r="A12" s="58">
        <v>9</v>
      </c>
      <c r="B12" s="53" t="str">
        <f>Productos!B14</f>
        <v>Helado 1 litro con Fruta</v>
      </c>
      <c r="C12" s="59">
        <v>1164</v>
      </c>
      <c r="D12" s="59">
        <v>1187</v>
      </c>
      <c r="E12" s="59">
        <v>1012</v>
      </c>
      <c r="F12" s="59">
        <v>1012</v>
      </c>
      <c r="G12" s="59">
        <v>1137</v>
      </c>
      <c r="H12" s="59">
        <v>1135</v>
      </c>
      <c r="I12" s="59">
        <v>923</v>
      </c>
      <c r="J12" s="59">
        <v>1083</v>
      </c>
      <c r="K12" s="59">
        <v>1157</v>
      </c>
      <c r="L12" s="59">
        <v>1197</v>
      </c>
      <c r="M12" s="59">
        <v>1030</v>
      </c>
      <c r="N12" s="59">
        <v>1287</v>
      </c>
      <c r="O12" s="60">
        <f t="shared" si="0"/>
        <v>13324</v>
      </c>
      <c r="P12" s="61" t="str">
        <f>Productos!C14</f>
        <v>Vaso 1 lt.</v>
      </c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spans="1:26" ht="13.5" customHeight="1" x14ac:dyDescent="0.2">
      <c r="A13" s="62">
        <v>10</v>
      </c>
      <c r="B13" s="63" t="str">
        <f>Productos!B15</f>
        <v>Helado 1 litro 2 sabores</v>
      </c>
      <c r="C13" s="64">
        <v>1260</v>
      </c>
      <c r="D13" s="64">
        <v>1077</v>
      </c>
      <c r="E13" s="64">
        <v>911</v>
      </c>
      <c r="F13" s="64">
        <v>937</v>
      </c>
      <c r="G13" s="64">
        <v>1277</v>
      </c>
      <c r="H13" s="64">
        <v>1013</v>
      </c>
      <c r="I13" s="64">
        <v>1274</v>
      </c>
      <c r="J13" s="64">
        <v>990</v>
      </c>
      <c r="K13" s="64">
        <v>1067</v>
      </c>
      <c r="L13" s="64">
        <v>909</v>
      </c>
      <c r="M13" s="64">
        <v>1022</v>
      </c>
      <c r="N13" s="64">
        <v>1057</v>
      </c>
      <c r="O13" s="65">
        <f t="shared" si="0"/>
        <v>12794</v>
      </c>
      <c r="P13" s="66" t="str">
        <f>Productos!C15</f>
        <v>Vaso 1 lt.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spans="1:26" ht="12.75" customHeight="1" x14ac:dyDescent="0.2">
      <c r="A14" s="46"/>
      <c r="B14" s="4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46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spans="1:26" ht="13.5" customHeight="1" x14ac:dyDescent="0.3">
      <c r="A15" s="46"/>
      <c r="B15" s="46"/>
      <c r="C15" s="57"/>
      <c r="D15" s="57"/>
      <c r="E15" s="57"/>
      <c r="F15" s="57"/>
      <c r="G15" s="57"/>
      <c r="H15" s="57"/>
      <c r="I15" s="57"/>
      <c r="J15" s="67"/>
      <c r="K15" s="57"/>
      <c r="L15" s="57"/>
      <c r="M15" s="57"/>
      <c r="N15" s="57"/>
      <c r="O15" s="57"/>
      <c r="P15" s="46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3.5" customHeight="1" x14ac:dyDescent="0.3">
      <c r="A16" s="49" t="s">
        <v>53</v>
      </c>
      <c r="B16" s="14" t="s">
        <v>100</v>
      </c>
      <c r="C16" s="14">
        <v>2022</v>
      </c>
      <c r="D16" s="14">
        <v>2023</v>
      </c>
      <c r="E16" s="14">
        <v>2024</v>
      </c>
      <c r="F16" s="14">
        <v>2025</v>
      </c>
      <c r="G16" s="15">
        <v>2026</v>
      </c>
      <c r="H16" s="57"/>
      <c r="I16" s="57"/>
      <c r="J16" s="67"/>
      <c r="K16" s="57"/>
      <c r="L16" s="57"/>
      <c r="M16" s="57"/>
      <c r="N16" s="57"/>
      <c r="O16" s="57"/>
      <c r="P16" s="46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2.75" customHeight="1" x14ac:dyDescent="0.3">
      <c r="A17" s="52">
        <v>1</v>
      </c>
      <c r="B17" s="53" t="str">
        <f>Productos!B6</f>
        <v>Helado por 10 litros liso</v>
      </c>
      <c r="C17" s="54">
        <f t="shared" ref="C17:C26" si="1">O4</f>
        <v>13809</v>
      </c>
      <c r="D17" s="54">
        <v>8690</v>
      </c>
      <c r="E17" s="54">
        <v>9559</v>
      </c>
      <c r="F17" s="54">
        <v>10514.9</v>
      </c>
      <c r="G17" s="68">
        <v>8690</v>
      </c>
      <c r="H17" s="57"/>
      <c r="I17" s="69"/>
      <c r="J17" s="67"/>
      <c r="K17" s="57"/>
      <c r="L17" s="57"/>
      <c r="M17" s="57"/>
      <c r="N17" s="57"/>
      <c r="O17" s="57"/>
      <c r="P17" s="46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spans="1:26" ht="12.75" customHeight="1" x14ac:dyDescent="0.3">
      <c r="A18" s="58">
        <v>2</v>
      </c>
      <c r="B18" s="70" t="str">
        <f>Productos!B7</f>
        <v>Helado por 10 litros con Fruta</v>
      </c>
      <c r="C18" s="54">
        <f t="shared" si="1"/>
        <v>13760</v>
      </c>
      <c r="D18" s="54">
        <v>8690</v>
      </c>
      <c r="E18" s="54">
        <v>9559</v>
      </c>
      <c r="F18" s="54">
        <v>10514.9</v>
      </c>
      <c r="G18" s="68">
        <v>8690</v>
      </c>
      <c r="H18" s="57"/>
      <c r="I18" s="69"/>
      <c r="J18" s="67"/>
      <c r="K18" s="57"/>
      <c r="L18" s="57"/>
      <c r="M18" s="57"/>
      <c r="N18" s="57"/>
      <c r="O18" s="57"/>
      <c r="P18" s="46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spans="1:26" ht="12.75" customHeight="1" x14ac:dyDescent="0.3">
      <c r="A19" s="58">
        <v>3</v>
      </c>
      <c r="B19" s="70" t="str">
        <f>Productos!B8</f>
        <v>Helado por 5 litros</v>
      </c>
      <c r="C19" s="54">
        <f t="shared" si="1"/>
        <v>12847</v>
      </c>
      <c r="D19" s="54">
        <v>6517.5</v>
      </c>
      <c r="E19" s="54">
        <v>7169.25</v>
      </c>
      <c r="F19" s="54">
        <v>7886.1750000000029</v>
      </c>
      <c r="G19" s="68">
        <v>6517.5</v>
      </c>
      <c r="H19" s="57"/>
      <c r="I19" s="69"/>
      <c r="J19" s="67"/>
      <c r="K19" s="57"/>
      <c r="L19" s="57"/>
      <c r="M19" s="57"/>
      <c r="N19" s="57"/>
      <c r="O19" s="57"/>
      <c r="P19" s="46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spans="1:26" ht="12.75" customHeight="1" x14ac:dyDescent="0.3">
      <c r="A20" s="58">
        <v>4</v>
      </c>
      <c r="B20" s="70" t="str">
        <f>Productos!B9</f>
        <v>Balde 5 litros 2 sabores</v>
      </c>
      <c r="C20" s="54">
        <f t="shared" si="1"/>
        <v>12926</v>
      </c>
      <c r="D20" s="54">
        <v>5776.1</v>
      </c>
      <c r="E20" s="54">
        <v>6353.71</v>
      </c>
      <c r="F20" s="54">
        <v>6989.0810000000019</v>
      </c>
      <c r="G20" s="68">
        <v>5776.1</v>
      </c>
      <c r="H20" s="57"/>
      <c r="I20" s="69"/>
      <c r="J20" s="67"/>
      <c r="K20" s="57"/>
      <c r="L20" s="57"/>
      <c r="M20" s="57"/>
      <c r="N20" s="57"/>
      <c r="O20" s="57"/>
      <c r="P20" s="46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spans="1:26" ht="12.75" customHeight="1" x14ac:dyDescent="0.3">
      <c r="A21" s="58">
        <v>5</v>
      </c>
      <c r="B21" s="70" t="str">
        <f>Productos!B10</f>
        <v>Helado 2 litros liso</v>
      </c>
      <c r="C21" s="54">
        <f t="shared" si="1"/>
        <v>13528</v>
      </c>
      <c r="D21" s="54">
        <v>6037</v>
      </c>
      <c r="E21" s="54">
        <v>8454</v>
      </c>
      <c r="F21" s="54">
        <v>8164</v>
      </c>
      <c r="G21" s="68">
        <v>7237</v>
      </c>
      <c r="H21" s="57"/>
      <c r="I21" s="69"/>
      <c r="J21" s="47"/>
      <c r="K21" s="57"/>
      <c r="L21" s="57"/>
      <c r="M21" s="57"/>
      <c r="N21" s="57"/>
      <c r="O21" s="57"/>
      <c r="P21" s="46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spans="1:26" ht="12.75" customHeight="1" x14ac:dyDescent="0.3">
      <c r="A22" s="58">
        <v>6</v>
      </c>
      <c r="B22" s="70" t="str">
        <f>Productos!B11</f>
        <v>Helado 2 litros con Fruta</v>
      </c>
      <c r="C22" s="54">
        <f t="shared" si="1"/>
        <v>12974</v>
      </c>
      <c r="D22" s="54">
        <v>9253</v>
      </c>
      <c r="E22" s="54">
        <v>8658</v>
      </c>
      <c r="F22" s="54">
        <v>9752</v>
      </c>
      <c r="G22" s="68">
        <v>6681</v>
      </c>
      <c r="H22" s="57"/>
      <c r="I22" s="69"/>
      <c r="J22" s="57"/>
      <c r="K22" s="57"/>
      <c r="L22" s="57"/>
      <c r="M22" s="57"/>
      <c r="N22" s="57"/>
      <c r="O22" s="57"/>
      <c r="P22" s="46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spans="1:26" ht="12.75" customHeight="1" x14ac:dyDescent="0.3">
      <c r="A23" s="58">
        <v>7</v>
      </c>
      <c r="B23" s="70" t="str">
        <f>Productos!B12</f>
        <v>Helado 2 litros 2 sabores</v>
      </c>
      <c r="C23" s="54">
        <f t="shared" si="1"/>
        <v>12963</v>
      </c>
      <c r="D23" s="54">
        <v>8995</v>
      </c>
      <c r="E23" s="54">
        <v>7946</v>
      </c>
      <c r="F23" s="54">
        <v>9974</v>
      </c>
      <c r="G23" s="68">
        <v>9865</v>
      </c>
      <c r="H23" s="57"/>
      <c r="I23" s="69"/>
      <c r="J23" s="47"/>
      <c r="K23" s="57"/>
      <c r="L23" s="57"/>
      <c r="M23" s="57"/>
      <c r="N23" s="57"/>
      <c r="O23" s="57"/>
      <c r="P23" s="46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spans="1:26" ht="12.75" customHeight="1" x14ac:dyDescent="0.3">
      <c r="A24" s="58">
        <v>8</v>
      </c>
      <c r="B24" s="70" t="str">
        <f>Productos!B13</f>
        <v>Helado 1 litro liso</v>
      </c>
      <c r="C24" s="54">
        <f t="shared" si="1"/>
        <v>12930</v>
      </c>
      <c r="D24" s="54">
        <v>6603</v>
      </c>
      <c r="E24" s="54">
        <v>7895</v>
      </c>
      <c r="F24" s="54">
        <v>9850</v>
      </c>
      <c r="G24" s="68">
        <v>7115</v>
      </c>
      <c r="H24" s="57"/>
      <c r="I24" s="69"/>
      <c r="J24" s="57"/>
      <c r="K24" s="57"/>
      <c r="L24" s="57"/>
      <c r="M24" s="57"/>
      <c r="N24" s="57"/>
      <c r="O24" s="57"/>
      <c r="P24" s="46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spans="1:26" ht="12.75" customHeight="1" x14ac:dyDescent="0.3">
      <c r="A25" s="58">
        <v>9</v>
      </c>
      <c r="B25" s="70" t="str">
        <f>Productos!B14</f>
        <v>Helado 1 litro con Fruta</v>
      </c>
      <c r="C25" s="54">
        <f t="shared" si="1"/>
        <v>13324</v>
      </c>
      <c r="D25" s="54">
        <v>9070</v>
      </c>
      <c r="E25" s="54">
        <v>9155</v>
      </c>
      <c r="F25" s="54">
        <v>6464</v>
      </c>
      <c r="G25" s="68">
        <v>6674</v>
      </c>
      <c r="H25" s="57"/>
      <c r="I25" s="69"/>
      <c r="J25" s="47"/>
      <c r="K25" s="57"/>
      <c r="L25" s="57"/>
      <c r="M25" s="57"/>
      <c r="N25" s="57"/>
      <c r="O25" s="57"/>
      <c r="P25" s="46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spans="1:26" ht="13.5" customHeight="1" x14ac:dyDescent="0.3">
      <c r="A26" s="62">
        <v>10</v>
      </c>
      <c r="B26" s="63" t="str">
        <f>Productos!B15</f>
        <v>Helado 1 litro 2 sabores</v>
      </c>
      <c r="C26" s="64">
        <f t="shared" si="1"/>
        <v>12794</v>
      </c>
      <c r="D26" s="64">
        <v>5809</v>
      </c>
      <c r="E26" s="64">
        <v>7815</v>
      </c>
      <c r="F26" s="64">
        <v>5799</v>
      </c>
      <c r="G26" s="71">
        <v>9243</v>
      </c>
      <c r="H26" s="47"/>
      <c r="I26" s="72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spans="1:26" ht="12.75" customHeight="1" x14ac:dyDescent="0.2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spans="1:26" ht="13.5" customHeight="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spans="1:26" ht="13.5" customHeight="1" x14ac:dyDescent="0.2">
      <c r="A29" s="49" t="s">
        <v>53</v>
      </c>
      <c r="B29" s="14" t="s">
        <v>101</v>
      </c>
      <c r="C29" s="14" t="str">
        <f t="shared" ref="C29:N29" si="2">C3</f>
        <v>Enero</v>
      </c>
      <c r="D29" s="14" t="str">
        <f t="shared" si="2"/>
        <v>Febrero</v>
      </c>
      <c r="E29" s="14" t="str">
        <f t="shared" si="2"/>
        <v>Marzo</v>
      </c>
      <c r="F29" s="14" t="str">
        <f t="shared" si="2"/>
        <v>Abril</v>
      </c>
      <c r="G29" s="14" t="str">
        <f t="shared" si="2"/>
        <v>Mayo</v>
      </c>
      <c r="H29" s="14" t="str">
        <f t="shared" si="2"/>
        <v>Junio</v>
      </c>
      <c r="I29" s="14" t="str">
        <f t="shared" si="2"/>
        <v>Julio</v>
      </c>
      <c r="J29" s="14" t="str">
        <f t="shared" si="2"/>
        <v>Agosto</v>
      </c>
      <c r="K29" s="14" t="str">
        <f t="shared" si="2"/>
        <v>Sept.</v>
      </c>
      <c r="L29" s="14" t="str">
        <f t="shared" si="2"/>
        <v>Oct.</v>
      </c>
      <c r="M29" s="14" t="str">
        <f t="shared" si="2"/>
        <v>Nov.</v>
      </c>
      <c r="N29" s="14" t="str">
        <f t="shared" si="2"/>
        <v>Dic.</v>
      </c>
      <c r="O29" s="15" t="s">
        <v>99</v>
      </c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spans="1:26" ht="12.75" customHeight="1" x14ac:dyDescent="0.2">
      <c r="A30" s="52">
        <v>1</v>
      </c>
      <c r="B30" s="53" t="str">
        <f>Productos!B6</f>
        <v>Helado por 10 litros liso</v>
      </c>
      <c r="C30" s="73">
        <f>C4*Productos!$D6</f>
        <v>90580000</v>
      </c>
      <c r="D30" s="73">
        <f>D4*Productos!$D6</f>
        <v>87920000</v>
      </c>
      <c r="E30" s="73">
        <f>E4*Productos!$D6</f>
        <v>80150000</v>
      </c>
      <c r="F30" s="73">
        <f>F4*Productos!$D6</f>
        <v>89250000</v>
      </c>
      <c r="G30" s="73">
        <f>G4*Productos!$D6</f>
        <v>78050000</v>
      </c>
      <c r="H30" s="73">
        <f>H4*Productos!$D6</f>
        <v>71050000</v>
      </c>
      <c r="I30" s="73">
        <f>I4*Productos!$D6</f>
        <v>80500000</v>
      </c>
      <c r="J30" s="73">
        <f>J4*Productos!$D6</f>
        <v>83090000</v>
      </c>
      <c r="K30" s="73">
        <f>K4*Productos!$D6</f>
        <v>86800000</v>
      </c>
      <c r="L30" s="73">
        <f>L4*Productos!$D6</f>
        <v>83510000</v>
      </c>
      <c r="M30" s="73">
        <f>M4*Productos!$D6</f>
        <v>69650000</v>
      </c>
      <c r="N30" s="73">
        <f>N4*Productos!$D6</f>
        <v>66080000</v>
      </c>
      <c r="O30" s="74">
        <f t="shared" ref="O30:O39" si="3">SUM(C30:N30)</f>
        <v>966630000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spans="1:26" ht="12.75" customHeight="1" x14ac:dyDescent="0.2">
      <c r="A31" s="58">
        <v>2</v>
      </c>
      <c r="B31" s="53" t="str">
        <f>Productos!B7</f>
        <v>Helado por 10 litros con Fruta</v>
      </c>
      <c r="C31" s="73">
        <f>C5*Productos!$D7</f>
        <v>87720000</v>
      </c>
      <c r="D31" s="73">
        <f>D5*Productos!$D7</f>
        <v>104720000</v>
      </c>
      <c r="E31" s="73">
        <f>E5*Productos!$D7</f>
        <v>88315000</v>
      </c>
      <c r="F31" s="73">
        <f>F5*Productos!$D7</f>
        <v>100810000</v>
      </c>
      <c r="G31" s="73">
        <f>G5*Productos!$D7</f>
        <v>103530000</v>
      </c>
      <c r="H31" s="73">
        <f>H5*Productos!$D7</f>
        <v>104210000</v>
      </c>
      <c r="I31" s="73">
        <f>I5*Productos!$D7</f>
        <v>109140000</v>
      </c>
      <c r="J31" s="73">
        <f>J5*Productos!$D7</f>
        <v>89165000</v>
      </c>
      <c r="K31" s="73">
        <f>K5*Productos!$D7</f>
        <v>86870000</v>
      </c>
      <c r="L31" s="73">
        <f>L5*Productos!$D7</f>
        <v>103530000</v>
      </c>
      <c r="M31" s="73">
        <f>M5*Productos!$D7</f>
        <v>86700000</v>
      </c>
      <c r="N31" s="73">
        <f>N5*Productos!$D7</f>
        <v>104890000</v>
      </c>
      <c r="O31" s="74">
        <f t="shared" si="3"/>
        <v>1169600000</v>
      </c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spans="1:26" ht="12.75" customHeight="1" x14ac:dyDescent="0.2">
      <c r="A32" s="58">
        <v>3</v>
      </c>
      <c r="B32" s="53" t="str">
        <f>Productos!B8</f>
        <v>Helado por 5 litros</v>
      </c>
      <c r="C32" s="73">
        <f>C6*Productos!$D8</f>
        <v>42910000</v>
      </c>
      <c r="D32" s="73">
        <f>D6*Productos!$D8</f>
        <v>44660000</v>
      </c>
      <c r="E32" s="73">
        <f>E6*Productos!$D8</f>
        <v>31500000</v>
      </c>
      <c r="F32" s="73">
        <f>F6*Productos!$D8</f>
        <v>35700000</v>
      </c>
      <c r="G32" s="73">
        <f>G6*Productos!$D8</f>
        <v>41545000</v>
      </c>
      <c r="H32" s="73">
        <f>H6*Productos!$D8</f>
        <v>43680000</v>
      </c>
      <c r="I32" s="73">
        <f>I6*Productos!$D8</f>
        <v>38395000</v>
      </c>
      <c r="J32" s="73">
        <f>J6*Productos!$D8</f>
        <v>32095000</v>
      </c>
      <c r="K32" s="73">
        <f>K6*Productos!$D8</f>
        <v>33425000</v>
      </c>
      <c r="L32" s="73">
        <f>L6*Productos!$D8</f>
        <v>33495000</v>
      </c>
      <c r="M32" s="73">
        <f>M6*Productos!$D8</f>
        <v>32550000</v>
      </c>
      <c r="N32" s="73">
        <f>N6*Productos!$D8</f>
        <v>39690000</v>
      </c>
      <c r="O32" s="74">
        <f t="shared" si="3"/>
        <v>449645000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spans="1:26" ht="12.75" customHeight="1" x14ac:dyDescent="0.2">
      <c r="A33" s="58">
        <v>4</v>
      </c>
      <c r="B33" s="53" t="str">
        <f>Productos!B9</f>
        <v>Balde 5 litros 2 sabores</v>
      </c>
      <c r="C33" s="73">
        <f>C7*Productos!$D9</f>
        <v>37870000</v>
      </c>
      <c r="D33" s="73">
        <f>D7*Productos!$D9</f>
        <v>35070000</v>
      </c>
      <c r="E33" s="73">
        <f>E7*Productos!$D9</f>
        <v>32340000</v>
      </c>
      <c r="F33" s="73">
        <f>F7*Productos!$D9</f>
        <v>44590000</v>
      </c>
      <c r="G33" s="73">
        <f>G7*Productos!$D9</f>
        <v>41160000</v>
      </c>
      <c r="H33" s="73">
        <f>H7*Productos!$D9</f>
        <v>43330000</v>
      </c>
      <c r="I33" s="73">
        <f>I7*Productos!$D9</f>
        <v>37660000</v>
      </c>
      <c r="J33" s="73">
        <f>J7*Productos!$D9</f>
        <v>37205000</v>
      </c>
      <c r="K33" s="73">
        <f>K7*Productos!$D9</f>
        <v>36120000</v>
      </c>
      <c r="L33" s="73">
        <f>L7*Productos!$D9</f>
        <v>32830000</v>
      </c>
      <c r="M33" s="73">
        <f>M7*Productos!$D9</f>
        <v>34720000</v>
      </c>
      <c r="N33" s="73">
        <f>N7*Productos!$D9</f>
        <v>39515000</v>
      </c>
      <c r="O33" s="74">
        <f t="shared" si="3"/>
        <v>452410000</v>
      </c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spans="1:26" ht="12.75" customHeight="1" x14ac:dyDescent="0.2">
      <c r="A34" s="58">
        <v>5</v>
      </c>
      <c r="B34" s="53" t="str">
        <f>Productos!B10</f>
        <v>Helado 2 litros liso</v>
      </c>
      <c r="C34" s="73">
        <f>C8*Productos!$D10</f>
        <v>15162000</v>
      </c>
      <c r="D34" s="73">
        <f>D8*Productos!$D10</f>
        <v>17682000</v>
      </c>
      <c r="E34" s="73">
        <f>E8*Productos!$D10</f>
        <v>14686000</v>
      </c>
      <c r="F34" s="73">
        <f>F8*Productos!$D10</f>
        <v>15008000</v>
      </c>
      <c r="G34" s="73">
        <f>G8*Productos!$D10</f>
        <v>16436000</v>
      </c>
      <c r="H34" s="73">
        <f>H8*Productos!$D10</f>
        <v>14826000</v>
      </c>
      <c r="I34" s="73">
        <f>I8*Productos!$D10</f>
        <v>14168000</v>
      </c>
      <c r="J34" s="73">
        <f>J8*Productos!$D10</f>
        <v>15148000</v>
      </c>
      <c r="K34" s="73">
        <f>K8*Productos!$D10</f>
        <v>14336000</v>
      </c>
      <c r="L34" s="73">
        <f>L8*Productos!$D10</f>
        <v>17850000</v>
      </c>
      <c r="M34" s="73">
        <f>M8*Productos!$D10</f>
        <v>16044000</v>
      </c>
      <c r="N34" s="73">
        <f>N8*Productos!$D10</f>
        <v>18046000</v>
      </c>
      <c r="O34" s="74">
        <f t="shared" si="3"/>
        <v>189392000</v>
      </c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spans="1:26" ht="12.75" customHeight="1" x14ac:dyDescent="0.2">
      <c r="A35" s="58">
        <v>6</v>
      </c>
      <c r="B35" s="53" t="str">
        <f>Productos!B11</f>
        <v>Helado 2 litros con Fruta</v>
      </c>
      <c r="C35" s="73">
        <f>C9*Productos!$D11</f>
        <v>20349000</v>
      </c>
      <c r="D35" s="73">
        <f>D9*Productos!$D11</f>
        <v>19074000</v>
      </c>
      <c r="E35" s="73">
        <f>E9*Productos!$D11</f>
        <v>17629000</v>
      </c>
      <c r="F35" s="73">
        <f>F9*Productos!$D11</f>
        <v>19142000</v>
      </c>
      <c r="G35" s="73">
        <f>G9*Productos!$D11</f>
        <v>17170000</v>
      </c>
      <c r="H35" s="73">
        <f>H9*Productos!$D11</f>
        <v>15453000</v>
      </c>
      <c r="I35" s="73">
        <f>I9*Productos!$D11</f>
        <v>15980000</v>
      </c>
      <c r="J35" s="73">
        <f>J9*Productos!$D11</f>
        <v>17391000</v>
      </c>
      <c r="K35" s="73">
        <f>K9*Productos!$D11</f>
        <v>20434000</v>
      </c>
      <c r="L35" s="73">
        <f>L9*Productos!$D11</f>
        <v>19057000</v>
      </c>
      <c r="M35" s="73">
        <f>M9*Productos!$D11</f>
        <v>17850000</v>
      </c>
      <c r="N35" s="73">
        <f>N9*Productos!$D11</f>
        <v>21029000</v>
      </c>
      <c r="O35" s="74">
        <f t="shared" si="3"/>
        <v>220558000</v>
      </c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spans="1:26" ht="12.75" customHeight="1" x14ac:dyDescent="0.2">
      <c r="A36" s="58">
        <v>7</v>
      </c>
      <c r="B36" s="53" t="str">
        <f>Productos!B12</f>
        <v>Helado 2 litros 2 sabores</v>
      </c>
      <c r="C36" s="73">
        <f>C10*Productos!$D12</f>
        <v>15792000</v>
      </c>
      <c r="D36" s="73">
        <f>D10*Productos!$D12</f>
        <v>13832000</v>
      </c>
      <c r="E36" s="73">
        <f>E10*Productos!$D12</f>
        <v>12978000</v>
      </c>
      <c r="F36" s="73">
        <f>F10*Productos!$D12</f>
        <v>16632000</v>
      </c>
      <c r="G36" s="73">
        <f>G10*Productos!$D12</f>
        <v>16758000</v>
      </c>
      <c r="H36" s="73">
        <f>H10*Productos!$D12</f>
        <v>14042000</v>
      </c>
      <c r="I36" s="73">
        <f>I10*Productos!$D12</f>
        <v>15708000</v>
      </c>
      <c r="J36" s="73">
        <f>J10*Productos!$D12</f>
        <v>12712000</v>
      </c>
      <c r="K36" s="73">
        <f>K10*Productos!$D12</f>
        <v>15064000</v>
      </c>
      <c r="L36" s="73">
        <f>L10*Productos!$D12</f>
        <v>15960000</v>
      </c>
      <c r="M36" s="73">
        <f>M10*Productos!$D12</f>
        <v>17192000</v>
      </c>
      <c r="N36" s="73">
        <f>N10*Productos!$D12</f>
        <v>14812000</v>
      </c>
      <c r="O36" s="74">
        <f t="shared" si="3"/>
        <v>181482000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spans="1:26" ht="12.75" customHeight="1" x14ac:dyDescent="0.2">
      <c r="A37" s="58">
        <v>8</v>
      </c>
      <c r="B37" s="53" t="str">
        <f>Productos!B13</f>
        <v>Helado 1 litro liso</v>
      </c>
      <c r="C37" s="73">
        <f>C11*Productos!$D13</f>
        <v>8106000</v>
      </c>
      <c r="D37" s="73">
        <f>D11*Productos!$D13</f>
        <v>7602000</v>
      </c>
      <c r="E37" s="73">
        <f>E11*Productos!$D13</f>
        <v>7504000</v>
      </c>
      <c r="F37" s="73">
        <f>F11*Productos!$D13</f>
        <v>6531000</v>
      </c>
      <c r="G37" s="73">
        <f>G11*Productos!$D13</f>
        <v>7231000</v>
      </c>
      <c r="H37" s="73">
        <f>H11*Productos!$D13</f>
        <v>7833000</v>
      </c>
      <c r="I37" s="73">
        <f>I11*Productos!$D13</f>
        <v>6342000</v>
      </c>
      <c r="J37" s="73">
        <f>J11*Productos!$D13</f>
        <v>7735000</v>
      </c>
      <c r="K37" s="73">
        <f>K11*Productos!$D13</f>
        <v>9093000</v>
      </c>
      <c r="L37" s="73">
        <f>L11*Productos!$D13</f>
        <v>7707000</v>
      </c>
      <c r="M37" s="73">
        <f>M11*Productos!$D13</f>
        <v>7777000</v>
      </c>
      <c r="N37" s="73">
        <f>N11*Productos!$D13</f>
        <v>7049000</v>
      </c>
      <c r="O37" s="74">
        <f t="shared" si="3"/>
        <v>90510000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1:26" ht="12.75" customHeight="1" x14ac:dyDescent="0.2">
      <c r="A38" s="58">
        <v>9</v>
      </c>
      <c r="B38" s="53" t="str">
        <f>Productos!B14</f>
        <v>Helado 1 litro con Fruta</v>
      </c>
      <c r="C38" s="73">
        <f>C12*Productos!$D14</f>
        <v>11640000</v>
      </c>
      <c r="D38" s="73">
        <f>D12*Productos!$D14</f>
        <v>11870000</v>
      </c>
      <c r="E38" s="73">
        <f>E12*Productos!$D14</f>
        <v>10120000</v>
      </c>
      <c r="F38" s="73">
        <f>F12*Productos!$D14</f>
        <v>10120000</v>
      </c>
      <c r="G38" s="73">
        <f>G12*Productos!$D14</f>
        <v>11370000</v>
      </c>
      <c r="H38" s="73">
        <f>H12*Productos!$D14</f>
        <v>11350000</v>
      </c>
      <c r="I38" s="73">
        <f>I12*Productos!$D14</f>
        <v>9230000</v>
      </c>
      <c r="J38" s="73">
        <f>J12*Productos!$D14</f>
        <v>10830000</v>
      </c>
      <c r="K38" s="73">
        <f>K12*Productos!$D14</f>
        <v>11570000</v>
      </c>
      <c r="L38" s="73">
        <f>L12*Productos!$D14</f>
        <v>11970000</v>
      </c>
      <c r="M38" s="73">
        <f>M12*Productos!$D14</f>
        <v>10300000</v>
      </c>
      <c r="N38" s="73">
        <f>N12*Productos!$D14</f>
        <v>12870000</v>
      </c>
      <c r="O38" s="74">
        <f t="shared" si="3"/>
        <v>133240000</v>
      </c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spans="1:26" ht="13.5" customHeight="1" x14ac:dyDescent="0.2">
      <c r="A39" s="75">
        <v>10</v>
      </c>
      <c r="B39" s="76" t="str">
        <f>Productos!B15</f>
        <v>Helado 1 litro 2 sabores</v>
      </c>
      <c r="C39" s="77">
        <f>C13*Productos!$D15</f>
        <v>8820000</v>
      </c>
      <c r="D39" s="77">
        <f>D13*Productos!$D15</f>
        <v>7539000</v>
      </c>
      <c r="E39" s="77">
        <f>E13*Productos!$D15</f>
        <v>6377000</v>
      </c>
      <c r="F39" s="77">
        <f>F13*Productos!$D15</f>
        <v>6559000</v>
      </c>
      <c r="G39" s="77">
        <f>G13*Productos!$D15</f>
        <v>8939000</v>
      </c>
      <c r="H39" s="77">
        <f>H13*Productos!$D15</f>
        <v>7091000</v>
      </c>
      <c r="I39" s="77">
        <f>I13*Productos!$D15</f>
        <v>8918000</v>
      </c>
      <c r="J39" s="77">
        <f>J13*Productos!$D15</f>
        <v>6930000</v>
      </c>
      <c r="K39" s="77">
        <f>K13*Productos!$D15</f>
        <v>7469000</v>
      </c>
      <c r="L39" s="77">
        <f>L13*Productos!$D15</f>
        <v>6363000</v>
      </c>
      <c r="M39" s="77">
        <f>M13*Productos!$D15</f>
        <v>7154000</v>
      </c>
      <c r="N39" s="77">
        <f>N13*Productos!$D15</f>
        <v>7399000</v>
      </c>
      <c r="O39" s="78">
        <f t="shared" si="3"/>
        <v>89558000</v>
      </c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spans="1:26" ht="14.25" customHeight="1" x14ac:dyDescent="0.2">
      <c r="A40" s="79"/>
      <c r="B40" s="80" t="s">
        <v>102</v>
      </c>
      <c r="C40" s="81">
        <f t="shared" ref="C40:O40" si="4">SUM(C30:C39)</f>
        <v>338949000</v>
      </c>
      <c r="D40" s="81">
        <f t="shared" si="4"/>
        <v>349969000</v>
      </c>
      <c r="E40" s="81">
        <f t="shared" si="4"/>
        <v>301599000</v>
      </c>
      <c r="F40" s="81">
        <f t="shared" si="4"/>
        <v>344342000</v>
      </c>
      <c r="G40" s="81">
        <f t="shared" si="4"/>
        <v>342189000</v>
      </c>
      <c r="H40" s="81">
        <f t="shared" si="4"/>
        <v>332865000</v>
      </c>
      <c r="I40" s="81">
        <f t="shared" si="4"/>
        <v>336041000</v>
      </c>
      <c r="J40" s="81">
        <f t="shared" si="4"/>
        <v>312301000</v>
      </c>
      <c r="K40" s="81">
        <f t="shared" si="4"/>
        <v>321181000</v>
      </c>
      <c r="L40" s="81">
        <f t="shared" si="4"/>
        <v>332272000</v>
      </c>
      <c r="M40" s="81">
        <f t="shared" si="4"/>
        <v>299937000</v>
      </c>
      <c r="N40" s="81">
        <f t="shared" si="4"/>
        <v>331380000</v>
      </c>
      <c r="O40" s="82">
        <f t="shared" si="4"/>
        <v>3943025000</v>
      </c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spans="1:26" ht="12.75" customHeight="1" x14ac:dyDescent="0.2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spans="1:26" ht="13.5" customHeight="1" x14ac:dyDescent="0.2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spans="1:26" ht="13.5" customHeight="1" x14ac:dyDescent="0.2">
      <c r="A43" s="49" t="s">
        <v>53</v>
      </c>
      <c r="B43" s="14" t="s">
        <v>103</v>
      </c>
      <c r="C43" s="14">
        <v>2022</v>
      </c>
      <c r="D43" s="14">
        <v>2023</v>
      </c>
      <c r="E43" s="14">
        <v>2024</v>
      </c>
      <c r="F43" s="14">
        <v>2025</v>
      </c>
      <c r="G43" s="15">
        <v>2026</v>
      </c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spans="1:26" ht="12.75" customHeight="1" x14ac:dyDescent="0.2">
      <c r="A44" s="83">
        <v>1</v>
      </c>
      <c r="B44" s="84" t="str">
        <f>Productos!B6</f>
        <v>Helado por 10 litros liso</v>
      </c>
      <c r="C44" s="85">
        <f t="shared" ref="C44:C53" si="5">O30</f>
        <v>966630000</v>
      </c>
      <c r="D44" s="85">
        <f>+D17*Productos!$D6</f>
        <v>608300000</v>
      </c>
      <c r="E44" s="85">
        <f>+E17*Productos!$D6</f>
        <v>669130000</v>
      </c>
      <c r="F44" s="85">
        <f>+F17*Productos!$D6</f>
        <v>736043000</v>
      </c>
      <c r="G44" s="86">
        <f>+G17*Productos!$D6</f>
        <v>608300000</v>
      </c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2.75" customHeight="1" x14ac:dyDescent="0.2">
      <c r="A45" s="58">
        <v>2</v>
      </c>
      <c r="B45" s="53" t="str">
        <f>Productos!B7</f>
        <v>Helado por 10 litros con Fruta</v>
      </c>
      <c r="C45" s="73">
        <f t="shared" si="5"/>
        <v>1169600000</v>
      </c>
      <c r="D45" s="87">
        <f>+D18*Productos!$D7</f>
        <v>738650000</v>
      </c>
      <c r="E45" s="87">
        <f>+E18*Productos!$D7</f>
        <v>812515000</v>
      </c>
      <c r="F45" s="87">
        <f>+F18*Productos!$D7</f>
        <v>893766500</v>
      </c>
      <c r="G45" s="88">
        <f>+G18*Productos!$D7</f>
        <v>738650000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2.75" customHeight="1" x14ac:dyDescent="0.2">
      <c r="A46" s="58">
        <v>3</v>
      </c>
      <c r="B46" s="53" t="str">
        <f>Productos!B8</f>
        <v>Helado por 5 litros</v>
      </c>
      <c r="C46" s="73">
        <f t="shared" si="5"/>
        <v>449645000</v>
      </c>
      <c r="D46" s="87">
        <f>+D19*Productos!$D8</f>
        <v>228112500</v>
      </c>
      <c r="E46" s="87">
        <f>+E19*Productos!$D8</f>
        <v>250923750</v>
      </c>
      <c r="F46" s="87">
        <f>+F19*Productos!$D8</f>
        <v>276016125.00000012</v>
      </c>
      <c r="G46" s="88">
        <f>+G19*Productos!$D8</f>
        <v>228112500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ht="12.75" customHeight="1" x14ac:dyDescent="0.2">
      <c r="A47" s="58">
        <v>4</v>
      </c>
      <c r="B47" s="53" t="str">
        <f>Productos!B9</f>
        <v>Balde 5 litros 2 sabores</v>
      </c>
      <c r="C47" s="73">
        <f t="shared" si="5"/>
        <v>452410000</v>
      </c>
      <c r="D47" s="87">
        <f>+D20*Productos!$D9</f>
        <v>202163500</v>
      </c>
      <c r="E47" s="87">
        <f>+E20*Productos!$D9</f>
        <v>222379850</v>
      </c>
      <c r="F47" s="87">
        <f>+F20*Productos!$D9</f>
        <v>244617835.00000006</v>
      </c>
      <c r="G47" s="88">
        <f>+G20*Productos!$D9</f>
        <v>202163500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spans="1:26" ht="12.75" customHeight="1" x14ac:dyDescent="0.2">
      <c r="A48" s="58">
        <v>5</v>
      </c>
      <c r="B48" s="53" t="str">
        <f>Productos!B10</f>
        <v>Helado 2 litros liso</v>
      </c>
      <c r="C48" s="73">
        <f t="shared" si="5"/>
        <v>189392000</v>
      </c>
      <c r="D48" s="87">
        <f>+D21*Productos!$D10</f>
        <v>84518000</v>
      </c>
      <c r="E48" s="87">
        <f>+E21*Productos!$D10</f>
        <v>118356000</v>
      </c>
      <c r="F48" s="87">
        <f>+F21*Productos!$D10</f>
        <v>114296000</v>
      </c>
      <c r="G48" s="88">
        <f>+G21*Productos!$D10</f>
        <v>101318000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2.75" customHeight="1" x14ac:dyDescent="0.2">
      <c r="A49" s="58">
        <v>6</v>
      </c>
      <c r="B49" s="53" t="str">
        <f>Productos!B11</f>
        <v>Helado 2 litros con Fruta</v>
      </c>
      <c r="C49" s="73">
        <f t="shared" si="5"/>
        <v>220558000</v>
      </c>
      <c r="D49" s="87">
        <f>+D22*Productos!$D11</f>
        <v>157301000</v>
      </c>
      <c r="E49" s="87">
        <f>+E22*Productos!$D11</f>
        <v>147186000</v>
      </c>
      <c r="F49" s="87">
        <f>+F22*Productos!$D11</f>
        <v>165784000</v>
      </c>
      <c r="G49" s="88">
        <f>+G22*Productos!$D11</f>
        <v>113577000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2.75" customHeight="1" x14ac:dyDescent="0.2">
      <c r="A50" s="58">
        <v>7</v>
      </c>
      <c r="B50" s="53" t="str">
        <f>Productos!B12</f>
        <v>Helado 2 litros 2 sabores</v>
      </c>
      <c r="C50" s="73">
        <f t="shared" si="5"/>
        <v>181482000</v>
      </c>
      <c r="D50" s="87">
        <f>+D23*Productos!$D12</f>
        <v>125930000</v>
      </c>
      <c r="E50" s="87">
        <f>+E23*Productos!$D12</f>
        <v>111244000</v>
      </c>
      <c r="F50" s="87">
        <f>+F23*Productos!$D12</f>
        <v>139636000</v>
      </c>
      <c r="G50" s="88">
        <f>+G23*Productos!$D12</f>
        <v>138110000</v>
      </c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ht="12.75" customHeight="1" x14ac:dyDescent="0.2">
      <c r="A51" s="58">
        <v>8</v>
      </c>
      <c r="B51" s="53" t="str">
        <f>Productos!B13</f>
        <v>Helado 1 litro liso</v>
      </c>
      <c r="C51" s="73">
        <f t="shared" si="5"/>
        <v>90510000</v>
      </c>
      <c r="D51" s="87">
        <f>+D24*Productos!$D13</f>
        <v>46221000</v>
      </c>
      <c r="E51" s="87">
        <f>+E24*Productos!$D13</f>
        <v>55265000</v>
      </c>
      <c r="F51" s="87">
        <f>+F24*Productos!$D13</f>
        <v>68950000</v>
      </c>
      <c r="G51" s="88">
        <f>+G24*Productos!$D13</f>
        <v>49805000</v>
      </c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spans="1:26" ht="12.75" customHeight="1" x14ac:dyDescent="0.2">
      <c r="A52" s="58">
        <v>9</v>
      </c>
      <c r="B52" s="53" t="str">
        <f>Productos!B14</f>
        <v>Helado 1 litro con Fruta</v>
      </c>
      <c r="C52" s="73">
        <f t="shared" si="5"/>
        <v>133240000</v>
      </c>
      <c r="D52" s="87">
        <f>+D25*Productos!$D14</f>
        <v>90700000</v>
      </c>
      <c r="E52" s="87">
        <f>+E25*Productos!$D14</f>
        <v>91550000</v>
      </c>
      <c r="F52" s="87">
        <f>+F25*Productos!$D14</f>
        <v>64640000</v>
      </c>
      <c r="G52" s="88">
        <f>+G25*Productos!$D14</f>
        <v>66740000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3.5" customHeight="1" x14ac:dyDescent="0.2">
      <c r="A53" s="75">
        <v>10</v>
      </c>
      <c r="B53" s="76" t="str">
        <f>Productos!B15</f>
        <v>Helado 1 litro 2 sabores</v>
      </c>
      <c r="C53" s="77">
        <f t="shared" si="5"/>
        <v>89558000</v>
      </c>
      <c r="D53" s="77">
        <f>+D26*Productos!$D15</f>
        <v>40663000</v>
      </c>
      <c r="E53" s="77">
        <f>+E26*Productos!$D15</f>
        <v>54705000</v>
      </c>
      <c r="F53" s="77">
        <f>+F26*Productos!$D15</f>
        <v>40593000</v>
      </c>
      <c r="G53" s="78">
        <f>+G26*Productos!$D15</f>
        <v>64701000</v>
      </c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ht="14.25" customHeight="1" x14ac:dyDescent="0.2">
      <c r="A54" s="89"/>
      <c r="B54" s="90" t="s">
        <v>104</v>
      </c>
      <c r="C54" s="91">
        <f t="shared" ref="C54:G54" si="6">SUM(C44:C53)</f>
        <v>3943025000</v>
      </c>
      <c r="D54" s="91">
        <f t="shared" si="6"/>
        <v>2322559000</v>
      </c>
      <c r="E54" s="91">
        <f t="shared" si="6"/>
        <v>2533254600</v>
      </c>
      <c r="F54" s="91">
        <f t="shared" si="6"/>
        <v>2744342460</v>
      </c>
      <c r="G54" s="92">
        <f t="shared" si="6"/>
        <v>2311477000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spans="1:26" ht="12.75" customHeight="1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3.5" customHeight="1" x14ac:dyDescent="0.2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3.5" customHeight="1" x14ac:dyDescent="0.2">
      <c r="A57" s="49" t="s">
        <v>53</v>
      </c>
      <c r="B57" s="14" t="s">
        <v>105</v>
      </c>
      <c r="C57" s="14">
        <f t="shared" ref="C57:G57" si="7">C43</f>
        <v>2022</v>
      </c>
      <c r="D57" s="14">
        <f t="shared" si="7"/>
        <v>2023</v>
      </c>
      <c r="E57" s="14">
        <f t="shared" si="7"/>
        <v>2024</v>
      </c>
      <c r="F57" s="14">
        <f t="shared" si="7"/>
        <v>2025</v>
      </c>
      <c r="G57" s="15">
        <f t="shared" si="7"/>
        <v>2026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2.75" customHeight="1" x14ac:dyDescent="0.2">
      <c r="A58" s="83">
        <v>1</v>
      </c>
      <c r="B58" s="84" t="str">
        <f>Productos!B6</f>
        <v>Helado por 10 litros liso</v>
      </c>
      <c r="C58" s="85">
        <f>O4*Productos!E31</f>
        <v>820254600</v>
      </c>
      <c r="D58" s="85">
        <f>D17*Productos!$E31</f>
        <v>516186000</v>
      </c>
      <c r="E58" s="85">
        <f>E17*Productos!$E31</f>
        <v>567804600</v>
      </c>
      <c r="F58" s="85">
        <f>F17*Productos!$E31</f>
        <v>624585060</v>
      </c>
      <c r="G58" s="86">
        <f>G17*Productos!$E31</f>
        <v>516186000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2.75" customHeight="1" x14ac:dyDescent="0.2">
      <c r="A59" s="58">
        <v>2</v>
      </c>
      <c r="B59" s="53" t="str">
        <f>Productos!B7</f>
        <v>Helado por 10 litros con Fruta</v>
      </c>
      <c r="C59" s="87">
        <f>O5*Productos!E32</f>
        <v>1037504000</v>
      </c>
      <c r="D59" s="87">
        <f>D18*Productos!$E32</f>
        <v>655226000</v>
      </c>
      <c r="E59" s="87">
        <f>E18*Productos!$E32</f>
        <v>720748600</v>
      </c>
      <c r="F59" s="87">
        <f>F18*Productos!$E32</f>
        <v>792823460</v>
      </c>
      <c r="G59" s="88">
        <f>G18*Productos!$E32</f>
        <v>655226000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2.75" customHeight="1" x14ac:dyDescent="0.2">
      <c r="A60" s="58">
        <v>3</v>
      </c>
      <c r="B60" s="70" t="str">
        <f>Productos!B8</f>
        <v>Helado por 5 litros</v>
      </c>
      <c r="C60" s="87">
        <f>O6*Productos!E33</f>
        <v>299977450</v>
      </c>
      <c r="D60" s="87">
        <f>D19*Productos!$E33</f>
        <v>152183625</v>
      </c>
      <c r="E60" s="87">
        <f>E19*Productos!$E33</f>
        <v>167401987.5</v>
      </c>
      <c r="F60" s="87">
        <f>F19*Productos!$E33</f>
        <v>184142186.25000006</v>
      </c>
      <c r="G60" s="88">
        <f>G19*Productos!$E33</f>
        <v>152183625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2.75" customHeight="1" x14ac:dyDescent="0.2">
      <c r="A61" s="58">
        <v>4</v>
      </c>
      <c r="B61" s="70" t="str">
        <f>Productos!B9</f>
        <v>Balde 5 litros 2 sabores</v>
      </c>
      <c r="C61" s="87">
        <f>O7*Productos!E34</f>
        <v>294842060</v>
      </c>
      <c r="D61" s="87">
        <f>D20*Productos!$E34</f>
        <v>131752841.00000001</v>
      </c>
      <c r="E61" s="87">
        <f>E20*Productos!$E34</f>
        <v>144928125.09999999</v>
      </c>
      <c r="F61" s="87">
        <f>F20*Productos!$E34</f>
        <v>159420937.61000004</v>
      </c>
      <c r="G61" s="88">
        <f>G20*Productos!$E34</f>
        <v>131752841.00000001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2.75" customHeight="1" x14ac:dyDescent="0.2">
      <c r="A62" s="58">
        <v>5</v>
      </c>
      <c r="B62" s="70" t="str">
        <f>Productos!B10</f>
        <v>Helado 2 litros liso</v>
      </c>
      <c r="C62" s="87">
        <f>O8*Productos!E35</f>
        <v>100783600</v>
      </c>
      <c r="D62" s="87">
        <f>D21*Productos!$E35</f>
        <v>44975650</v>
      </c>
      <c r="E62" s="87">
        <f>E21*Productos!$E35</f>
        <v>62982300</v>
      </c>
      <c r="F62" s="87">
        <f>F21*Productos!$E35</f>
        <v>60821800</v>
      </c>
      <c r="G62" s="88">
        <f>G21*Productos!$E35</f>
        <v>53915650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2.75" customHeight="1" x14ac:dyDescent="0.2">
      <c r="A63" s="58">
        <v>6</v>
      </c>
      <c r="B63" s="70" t="str">
        <f>Productos!B11</f>
        <v>Helado 2 litros con Fruta</v>
      </c>
      <c r="C63" s="87">
        <f>O9*Productos!E36</f>
        <v>148552300</v>
      </c>
      <c r="D63" s="87">
        <f>D22*Productos!$E36</f>
        <v>105946850</v>
      </c>
      <c r="E63" s="87">
        <f>E22*Productos!$E36</f>
        <v>99134100</v>
      </c>
      <c r="F63" s="87">
        <f>F22*Productos!$E36</f>
        <v>111660400</v>
      </c>
      <c r="G63" s="88">
        <f>G22*Productos!$E36</f>
        <v>76497450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2.75" customHeight="1" x14ac:dyDescent="0.2">
      <c r="A64" s="58">
        <v>7</v>
      </c>
      <c r="B64" s="70" t="str">
        <f>Productos!B12</f>
        <v>Helado 2 litros 2 sabores</v>
      </c>
      <c r="C64" s="87">
        <f>O10*Productos!E37</f>
        <v>96574350</v>
      </c>
      <c r="D64" s="87">
        <f>D23*Productos!$E37</f>
        <v>67012750</v>
      </c>
      <c r="E64" s="87">
        <f>E23*Productos!$E37</f>
        <v>59197700</v>
      </c>
      <c r="F64" s="87">
        <f>F23*Productos!$E37</f>
        <v>74306300</v>
      </c>
      <c r="G64" s="88">
        <f>G23*Productos!$E37</f>
        <v>73494250</v>
      </c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2.75" customHeight="1" x14ac:dyDescent="0.2">
      <c r="A65" s="58">
        <v>8</v>
      </c>
      <c r="B65" s="70" t="str">
        <f>Productos!B13</f>
        <v>Helado 1 litro liso</v>
      </c>
      <c r="C65" s="87">
        <f>O11*Productos!E38</f>
        <v>48164250</v>
      </c>
      <c r="D65" s="87">
        <f>D24*Productos!$E38</f>
        <v>24596175</v>
      </c>
      <c r="E65" s="87">
        <f>E24*Productos!$E38</f>
        <v>29408875</v>
      </c>
      <c r="F65" s="87">
        <f>F24*Productos!$E38</f>
        <v>36691250</v>
      </c>
      <c r="G65" s="88">
        <f>G24*Productos!$E38</f>
        <v>26503375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2.75" customHeight="1" x14ac:dyDescent="0.2">
      <c r="A66" s="58">
        <v>9</v>
      </c>
      <c r="B66" s="70" t="str">
        <f>Productos!B14</f>
        <v>Helado 1 litro con Fruta</v>
      </c>
      <c r="C66" s="87">
        <f>O12*Productos!E39</f>
        <v>76279900</v>
      </c>
      <c r="D66" s="87">
        <f>D25*Productos!$E39</f>
        <v>51925750</v>
      </c>
      <c r="E66" s="87">
        <f>E25*Productos!$E39</f>
        <v>52412375</v>
      </c>
      <c r="F66" s="87">
        <f>F25*Productos!$E39</f>
        <v>37006400</v>
      </c>
      <c r="G66" s="88">
        <f>G25*Productos!$E39</f>
        <v>38208650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3.5" customHeight="1" x14ac:dyDescent="0.2">
      <c r="A67" s="75">
        <v>10</v>
      </c>
      <c r="B67" s="76" t="str">
        <f>Productos!B15</f>
        <v>Helado 1 litro 2 sabores</v>
      </c>
      <c r="C67" s="77">
        <f>O13*Productos!E40</f>
        <v>47657650</v>
      </c>
      <c r="D67" s="77">
        <f>D26*Productos!$E40</f>
        <v>21638525</v>
      </c>
      <c r="E67" s="77">
        <f>E26*Productos!$E40</f>
        <v>29110875</v>
      </c>
      <c r="F67" s="77">
        <f>F26*Productos!$E40</f>
        <v>21601275</v>
      </c>
      <c r="G67" s="78">
        <f>G26*Productos!$E40</f>
        <v>34430175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4.25" customHeight="1" x14ac:dyDescent="0.2">
      <c r="A68" s="89"/>
      <c r="B68" s="93" t="s">
        <v>106</v>
      </c>
      <c r="C68" s="91">
        <f t="shared" ref="C68:G68" si="8">SUM(C58:C67)</f>
        <v>2970590160</v>
      </c>
      <c r="D68" s="91">
        <f t="shared" si="8"/>
        <v>1771444166</v>
      </c>
      <c r="E68" s="91">
        <f t="shared" si="8"/>
        <v>1933129537.5999999</v>
      </c>
      <c r="F68" s="91">
        <f t="shared" si="8"/>
        <v>2103059068.8600001</v>
      </c>
      <c r="G68" s="92">
        <f t="shared" si="8"/>
        <v>1758398016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2.75" customHeight="1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2.75" customHeight="1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2.75" customHeight="1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2.75" customHeight="1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2.75" customHeight="1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2.75" customHeigh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2.75" customHeight="1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2.75" customHeight="1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2.75" customHeight="1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2.75" customHeight="1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2.75" customHeight="1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2.75" customHeight="1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2.75" customHeight="1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2.75" customHeight="1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2.75" customHeight="1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2.75" customHeight="1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2.75" customHeight="1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2.75" customHeight="1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2.75" customHeight="1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2.75" customHeight="1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2.75" customHeight="1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2.75" customHeight="1" x14ac:dyDescent="0.2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2.75" customHeight="1" x14ac:dyDescent="0.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2.75" customHeight="1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2.75" customHeight="1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2.75" customHeight="1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2.75" customHeight="1" x14ac:dyDescent="0.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2.75" customHeight="1" x14ac:dyDescent="0.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2.75" customHeight="1" x14ac:dyDescent="0.2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2.75" customHeight="1" x14ac:dyDescent="0.2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2.75" customHeight="1" x14ac:dyDescent="0.2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2.7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2.7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2.75" customHeight="1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2.75" customHeight="1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2.75" customHeight="1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2.75" customHeight="1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2.75" customHeight="1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2.75" customHeight="1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2.75" customHeight="1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2.75" customHeight="1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2.75" customHeight="1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2.75" customHeight="1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2.75" customHeight="1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2.75" customHeight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2.75" customHeight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2.75" customHeight="1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2.75" customHeight="1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2.75" customHeight="1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2.75" customHeight="1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2.75" customHeight="1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2.75" customHeight="1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2.75" customHeight="1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2.75" customHeight="1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2.75" customHeight="1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2.75" customHeight="1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2.75" customHeight="1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2.75" customHeight="1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2.75" customHeight="1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2.75" customHeight="1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2.75" customHeight="1" x14ac:dyDescent="0.2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2.75" customHeight="1" x14ac:dyDescent="0.2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2.75" customHeight="1" x14ac:dyDescent="0.2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2.75" customHeight="1" x14ac:dyDescent="0.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2.75" customHeight="1" x14ac:dyDescent="0.2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2.75" customHeight="1" x14ac:dyDescent="0.2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2.75" customHeight="1" x14ac:dyDescent="0.2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2.75" customHeight="1" x14ac:dyDescent="0.2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2.75" customHeight="1" x14ac:dyDescent="0.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2.75" customHeight="1" x14ac:dyDescent="0.2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2.75" customHeight="1" x14ac:dyDescent="0.2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2.75" customHeight="1" x14ac:dyDescent="0.2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2.75" customHeight="1" x14ac:dyDescent="0.2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2.75" customHeight="1" x14ac:dyDescent="0.2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2.75" customHeight="1" x14ac:dyDescent="0.2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2.75" customHeight="1" x14ac:dyDescent="0.2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2.75" customHeight="1" x14ac:dyDescent="0.2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2.75" customHeight="1" x14ac:dyDescent="0.2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2.75" customHeight="1" x14ac:dyDescent="0.2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2.75" customHeight="1" x14ac:dyDescent="0.2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2.75" customHeight="1" x14ac:dyDescent="0.2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2.75" customHeight="1" x14ac:dyDescent="0.2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2.75" customHeight="1" x14ac:dyDescent="0.2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2.75" customHeight="1" x14ac:dyDescent="0.2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2.75" customHeight="1" x14ac:dyDescent="0.2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2.75" customHeight="1" x14ac:dyDescent="0.2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2.75" customHeight="1" x14ac:dyDescent="0.2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2.75" customHeight="1" x14ac:dyDescent="0.2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2.75" customHeight="1" x14ac:dyDescent="0.2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2.75" customHeight="1" x14ac:dyDescent="0.2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2.75" customHeight="1" x14ac:dyDescent="0.2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2.75" customHeight="1" x14ac:dyDescent="0.2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2.75" customHeight="1" x14ac:dyDescent="0.2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2.75" customHeight="1" x14ac:dyDescent="0.2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2.75" customHeight="1" x14ac:dyDescent="0.2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2.75" customHeight="1" x14ac:dyDescent="0.2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2.75" customHeight="1" x14ac:dyDescent="0.2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2.75" customHeight="1" x14ac:dyDescent="0.2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2.75" customHeight="1" x14ac:dyDescent="0.2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2.75" customHeight="1" x14ac:dyDescent="0.2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2.75" customHeight="1" x14ac:dyDescent="0.2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2.75" customHeight="1" x14ac:dyDescent="0.2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2.75" customHeight="1" x14ac:dyDescent="0.2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2.75" customHeight="1" x14ac:dyDescent="0.2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2.75" customHeight="1" x14ac:dyDescent="0.2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2.75" customHeight="1" x14ac:dyDescent="0.2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2.75" customHeight="1" x14ac:dyDescent="0.2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2.75" customHeight="1" x14ac:dyDescent="0.2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2.75" customHeight="1" x14ac:dyDescent="0.2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2.75" customHeight="1" x14ac:dyDescent="0.2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2.75" customHeight="1" x14ac:dyDescent="0.2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2.75" customHeight="1" x14ac:dyDescent="0.2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2.75" customHeight="1" x14ac:dyDescent="0.2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2.75" customHeight="1" x14ac:dyDescent="0.2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2.75" customHeight="1" x14ac:dyDescent="0.2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2.75" customHeight="1" x14ac:dyDescent="0.2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2.75" customHeight="1" x14ac:dyDescent="0.2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2.75" customHeight="1" x14ac:dyDescent="0.2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2.75" customHeight="1" x14ac:dyDescent="0.2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2.75" customHeight="1" x14ac:dyDescent="0.2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2.75" customHeight="1" x14ac:dyDescent="0.2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2.75" customHeight="1" x14ac:dyDescent="0.2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2.75" customHeight="1" x14ac:dyDescent="0.2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2.75" customHeight="1" x14ac:dyDescent="0.2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2.75" customHeight="1" x14ac:dyDescent="0.2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2.75" customHeight="1" x14ac:dyDescent="0.2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2.75" customHeight="1" x14ac:dyDescent="0.2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2.75" customHeight="1" x14ac:dyDescent="0.2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2.75" customHeight="1" x14ac:dyDescent="0.2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2.75" customHeight="1" x14ac:dyDescent="0.2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2.75" customHeight="1" x14ac:dyDescent="0.2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2.75" customHeight="1" x14ac:dyDescent="0.2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2.75" customHeight="1" x14ac:dyDescent="0.2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2.75" customHeight="1" x14ac:dyDescent="0.2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2.75" customHeight="1" x14ac:dyDescent="0.2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2.75" customHeight="1" x14ac:dyDescent="0.2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2.75" customHeight="1" x14ac:dyDescent="0.2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2.75" customHeight="1" x14ac:dyDescent="0.2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2.75" customHeight="1" x14ac:dyDescent="0.2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2.75" customHeight="1" x14ac:dyDescent="0.2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2.75" customHeight="1" x14ac:dyDescent="0.2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2.75" customHeight="1" x14ac:dyDescent="0.2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2.75" customHeight="1" x14ac:dyDescent="0.2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2.75" customHeight="1" x14ac:dyDescent="0.2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2.75" customHeight="1" x14ac:dyDescent="0.2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2.75" customHeight="1" x14ac:dyDescent="0.2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2.75" customHeight="1" x14ac:dyDescent="0.2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2.75" customHeight="1" x14ac:dyDescent="0.2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2.75" customHeight="1" x14ac:dyDescent="0.2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2.75" customHeight="1" x14ac:dyDescent="0.2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2.75" customHeight="1" x14ac:dyDescent="0.2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2.75" customHeight="1" x14ac:dyDescent="0.2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2.75" customHeight="1" x14ac:dyDescent="0.2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2.75" customHeight="1" x14ac:dyDescent="0.2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2.75" customHeight="1" x14ac:dyDescent="0.2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2.75" customHeight="1" x14ac:dyDescent="0.2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2.75" customHeight="1" x14ac:dyDescent="0.2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2.75" customHeight="1" x14ac:dyDescent="0.2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2.75" customHeight="1" x14ac:dyDescent="0.2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2.75" customHeight="1" x14ac:dyDescent="0.2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2.75" customHeight="1" x14ac:dyDescent="0.2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2.75" customHeight="1" x14ac:dyDescent="0.2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2.75" customHeight="1" x14ac:dyDescent="0.2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2.75" customHeight="1" x14ac:dyDescent="0.2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2.75" customHeight="1" x14ac:dyDescent="0.2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2.75" customHeight="1" x14ac:dyDescent="0.2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2.75" customHeight="1" x14ac:dyDescent="0.2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2.75" customHeight="1" x14ac:dyDescent="0.2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2.75" customHeight="1" x14ac:dyDescent="0.2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2.75" customHeight="1" x14ac:dyDescent="0.2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2.75" customHeight="1" x14ac:dyDescent="0.2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2.75" customHeight="1" x14ac:dyDescent="0.2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2.75" customHeight="1" x14ac:dyDescent="0.2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2.75" customHeight="1" x14ac:dyDescent="0.2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2.75" customHeight="1" x14ac:dyDescent="0.2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2.75" customHeight="1" x14ac:dyDescent="0.2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2.75" customHeight="1" x14ac:dyDescent="0.2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2.75" customHeight="1" x14ac:dyDescent="0.2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2.75" customHeight="1" x14ac:dyDescent="0.2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2.75" customHeight="1" x14ac:dyDescent="0.2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2.75" customHeight="1" x14ac:dyDescent="0.2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2.75" customHeight="1" x14ac:dyDescent="0.2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2.75" customHeight="1" x14ac:dyDescent="0.2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2.75" customHeight="1" x14ac:dyDescent="0.2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2.75" customHeight="1" x14ac:dyDescent="0.2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2.75" customHeight="1" x14ac:dyDescent="0.2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2.75" customHeight="1" x14ac:dyDescent="0.2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2.75" customHeight="1" x14ac:dyDescent="0.2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2.75" customHeight="1" x14ac:dyDescent="0.2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2.75" customHeight="1" x14ac:dyDescent="0.2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2.75" customHeight="1" x14ac:dyDescent="0.2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2.75" customHeight="1" x14ac:dyDescent="0.2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2.75" customHeight="1" x14ac:dyDescent="0.2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2.75" customHeight="1" x14ac:dyDescent="0.2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2.75" customHeight="1" x14ac:dyDescent="0.2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2.75" customHeight="1" x14ac:dyDescent="0.2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2.75" customHeight="1" x14ac:dyDescent="0.2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2.75" customHeight="1" x14ac:dyDescent="0.2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2.75" customHeight="1" x14ac:dyDescent="0.2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2.75" customHeight="1" x14ac:dyDescent="0.2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2.75" customHeight="1" x14ac:dyDescent="0.2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2.75" customHeight="1" x14ac:dyDescent="0.2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2.75" customHeight="1" x14ac:dyDescent="0.2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2.75" customHeight="1" x14ac:dyDescent="0.2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2.75" customHeight="1" x14ac:dyDescent="0.2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2.75" customHeight="1" x14ac:dyDescent="0.2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2.75" customHeight="1" x14ac:dyDescent="0.2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2.75" customHeight="1" x14ac:dyDescent="0.2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2.75" customHeight="1" x14ac:dyDescent="0.2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2.75" customHeight="1" x14ac:dyDescent="0.2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2.75" customHeight="1" x14ac:dyDescent="0.2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2.75" customHeight="1" x14ac:dyDescent="0.2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2.75" customHeight="1" x14ac:dyDescent="0.2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2.75" customHeight="1" x14ac:dyDescent="0.2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2.75" customHeight="1" x14ac:dyDescent="0.2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2.75" customHeight="1" x14ac:dyDescent="0.2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2.75" customHeight="1" x14ac:dyDescent="0.2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2.75" customHeight="1" x14ac:dyDescent="0.2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2.75" customHeight="1" x14ac:dyDescent="0.2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2.75" customHeight="1" x14ac:dyDescent="0.2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2.75" customHeight="1" x14ac:dyDescent="0.2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2.75" customHeight="1" x14ac:dyDescent="0.2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2.75" customHeight="1" x14ac:dyDescent="0.2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2.75" customHeight="1" x14ac:dyDescent="0.2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2.75" customHeight="1" x14ac:dyDescent="0.2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2.75" customHeight="1" x14ac:dyDescent="0.2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26" ht="12.75" customHeight="1" x14ac:dyDescent="0.2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spans="1:26" ht="12.75" customHeight="1" x14ac:dyDescent="0.2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spans="1:26" ht="12.75" customHeight="1" x14ac:dyDescent="0.2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spans="1:26" ht="12.75" customHeight="1" x14ac:dyDescent="0.2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spans="1:26" ht="12.75" customHeight="1" x14ac:dyDescent="0.2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spans="1:26" ht="12.75" customHeight="1" x14ac:dyDescent="0.2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spans="1:26" ht="12.75" customHeight="1" x14ac:dyDescent="0.2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spans="1:26" ht="12.75" customHeight="1" x14ac:dyDescent="0.2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spans="1:26" ht="12.75" customHeight="1" x14ac:dyDescent="0.2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spans="1:26" ht="12.75" customHeight="1" x14ac:dyDescent="0.2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spans="1:26" ht="12.75" customHeight="1" x14ac:dyDescent="0.2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spans="1:26" ht="12.75" customHeight="1" x14ac:dyDescent="0.2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spans="1:26" ht="12.75" customHeight="1" x14ac:dyDescent="0.2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spans="1:26" ht="12.75" customHeight="1" x14ac:dyDescent="0.2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spans="1:26" ht="12.75" customHeight="1" x14ac:dyDescent="0.2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spans="1:26" ht="12.75" customHeight="1" x14ac:dyDescent="0.2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spans="1:26" ht="12.75" customHeight="1" x14ac:dyDescent="0.2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spans="1:26" ht="12.75" customHeight="1" x14ac:dyDescent="0.2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spans="1:26" ht="12.75" customHeight="1" x14ac:dyDescent="0.2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spans="1:26" ht="12.75" customHeight="1" x14ac:dyDescent="0.2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spans="1:26" ht="12.75" customHeight="1" x14ac:dyDescent="0.2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spans="1:26" ht="12.75" customHeight="1" x14ac:dyDescent="0.2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spans="1:26" ht="12.75" customHeight="1" x14ac:dyDescent="0.2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spans="1:26" ht="12.75" customHeight="1" x14ac:dyDescent="0.2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spans="1:26" ht="12.75" customHeight="1" x14ac:dyDescent="0.2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spans="1:26" ht="12.75" customHeight="1" x14ac:dyDescent="0.2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spans="1:26" ht="12.75" customHeight="1" x14ac:dyDescent="0.2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spans="1:26" ht="12.75" customHeight="1" x14ac:dyDescent="0.2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spans="1:26" ht="12.75" customHeight="1" x14ac:dyDescent="0.2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spans="1:26" ht="12.75" customHeight="1" x14ac:dyDescent="0.2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spans="1:26" ht="12.75" customHeight="1" x14ac:dyDescent="0.2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spans="1:26" ht="12.75" customHeight="1" x14ac:dyDescent="0.2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spans="1:26" ht="12.75" customHeight="1" x14ac:dyDescent="0.2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spans="1:26" ht="12.75" customHeight="1" x14ac:dyDescent="0.2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spans="1:26" ht="12.75" customHeight="1" x14ac:dyDescent="0.2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spans="1:26" ht="12.75" customHeight="1" x14ac:dyDescent="0.2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spans="1:26" ht="12.75" customHeight="1" x14ac:dyDescent="0.2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spans="1:26" ht="12.75" customHeight="1" x14ac:dyDescent="0.2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spans="1:26" ht="12.75" customHeight="1" x14ac:dyDescent="0.2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spans="1:26" ht="12.75" customHeight="1" x14ac:dyDescent="0.2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spans="1:26" ht="12.75" customHeight="1" x14ac:dyDescent="0.2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spans="1:26" ht="12.75" customHeight="1" x14ac:dyDescent="0.2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spans="1:26" ht="12.75" customHeight="1" x14ac:dyDescent="0.2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spans="1:26" ht="12.75" customHeight="1" x14ac:dyDescent="0.2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spans="1:26" ht="12.75" customHeight="1" x14ac:dyDescent="0.2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spans="1:26" ht="12.75" customHeight="1" x14ac:dyDescent="0.2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spans="1:26" ht="12.75" customHeight="1" x14ac:dyDescent="0.2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spans="1:26" ht="12.75" customHeight="1" x14ac:dyDescent="0.2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spans="1:26" ht="12.75" customHeight="1" x14ac:dyDescent="0.2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spans="1:26" ht="12.75" customHeight="1" x14ac:dyDescent="0.2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spans="1:26" ht="12.75" customHeight="1" x14ac:dyDescent="0.2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spans="1:26" ht="12.75" customHeight="1" x14ac:dyDescent="0.2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spans="1:26" ht="12.75" customHeight="1" x14ac:dyDescent="0.2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spans="1:26" ht="12.75" customHeight="1" x14ac:dyDescent="0.2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spans="1:26" ht="12.75" customHeight="1" x14ac:dyDescent="0.2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spans="1:26" ht="12.75" customHeight="1" x14ac:dyDescent="0.2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spans="1:26" ht="12.75" customHeight="1" x14ac:dyDescent="0.2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spans="1:26" ht="12.75" customHeight="1" x14ac:dyDescent="0.2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spans="1:26" ht="12.75" customHeight="1" x14ac:dyDescent="0.2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spans="1:26" ht="12.75" customHeight="1" x14ac:dyDescent="0.2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spans="1:26" ht="12.75" customHeight="1" x14ac:dyDescent="0.2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spans="1:26" ht="12.75" customHeight="1" x14ac:dyDescent="0.2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spans="1:26" ht="12.75" customHeight="1" x14ac:dyDescent="0.2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spans="1:26" ht="12.75" customHeight="1" x14ac:dyDescent="0.2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spans="1:26" ht="12.75" customHeight="1" x14ac:dyDescent="0.2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spans="1:26" ht="12.75" customHeight="1" x14ac:dyDescent="0.2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spans="1:26" ht="12.75" customHeight="1" x14ac:dyDescent="0.2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spans="1:26" ht="12.75" customHeight="1" x14ac:dyDescent="0.2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spans="1:26" ht="12.75" customHeight="1" x14ac:dyDescent="0.2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spans="1:26" ht="12.75" customHeight="1" x14ac:dyDescent="0.2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spans="1:26" ht="12.75" customHeight="1" x14ac:dyDescent="0.2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spans="1:26" ht="12.75" customHeight="1" x14ac:dyDescent="0.2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spans="1:26" ht="12.75" customHeight="1" x14ac:dyDescent="0.2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spans="1:26" ht="12.75" customHeight="1" x14ac:dyDescent="0.2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spans="1:26" ht="12.75" customHeight="1" x14ac:dyDescent="0.2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spans="1:26" ht="12.75" customHeight="1" x14ac:dyDescent="0.2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spans="1:26" ht="12.75" customHeight="1" x14ac:dyDescent="0.2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spans="1:26" ht="12.75" customHeight="1" x14ac:dyDescent="0.2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spans="1:26" ht="12.75" customHeight="1" x14ac:dyDescent="0.2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spans="1:26" ht="12.75" customHeight="1" x14ac:dyDescent="0.2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spans="1:26" ht="12.75" customHeight="1" x14ac:dyDescent="0.2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spans="1:26" ht="12.75" customHeight="1" x14ac:dyDescent="0.2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spans="1:26" ht="12.75" customHeight="1" x14ac:dyDescent="0.2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spans="1:26" ht="12.75" customHeight="1" x14ac:dyDescent="0.2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spans="1:26" ht="12.75" customHeight="1" x14ac:dyDescent="0.2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spans="1:26" ht="12.75" customHeight="1" x14ac:dyDescent="0.2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spans="1:26" ht="12.75" customHeight="1" x14ac:dyDescent="0.2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spans="1:26" ht="12.75" customHeight="1" x14ac:dyDescent="0.2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spans="1:26" ht="12.75" customHeight="1" x14ac:dyDescent="0.2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spans="1:26" ht="12.75" customHeight="1" x14ac:dyDescent="0.2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spans="1:26" ht="12.75" customHeight="1" x14ac:dyDescent="0.2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spans="1:26" ht="12.75" customHeight="1" x14ac:dyDescent="0.2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spans="1:26" ht="12.75" customHeight="1" x14ac:dyDescent="0.2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spans="1:26" ht="12.75" customHeight="1" x14ac:dyDescent="0.2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spans="1:26" ht="12.75" customHeight="1" x14ac:dyDescent="0.2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spans="1:26" ht="12.75" customHeight="1" x14ac:dyDescent="0.2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spans="1:26" ht="12.75" customHeight="1" x14ac:dyDescent="0.2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spans="1:26" ht="12.75" customHeight="1" x14ac:dyDescent="0.2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spans="1:26" ht="12.75" customHeight="1" x14ac:dyDescent="0.2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spans="1:26" ht="12.75" customHeight="1" x14ac:dyDescent="0.2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spans="1:26" ht="12.75" customHeight="1" x14ac:dyDescent="0.2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spans="1:26" ht="12.75" customHeight="1" x14ac:dyDescent="0.2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spans="1:26" ht="12.75" customHeight="1" x14ac:dyDescent="0.2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spans="1:26" ht="12.75" customHeight="1" x14ac:dyDescent="0.2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spans="1:26" ht="12.75" customHeight="1" x14ac:dyDescent="0.2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spans="1:26" ht="12.75" customHeight="1" x14ac:dyDescent="0.2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spans="1:26" ht="12.75" customHeight="1" x14ac:dyDescent="0.2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spans="1:26" ht="12.75" customHeight="1" x14ac:dyDescent="0.2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spans="1:26" ht="12.75" customHeight="1" x14ac:dyDescent="0.2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spans="1:26" ht="12.75" customHeight="1" x14ac:dyDescent="0.2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spans="1:26" ht="12.75" customHeight="1" x14ac:dyDescent="0.2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spans="1:26" ht="12.75" customHeight="1" x14ac:dyDescent="0.2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spans="1:26" ht="12.75" customHeight="1" x14ac:dyDescent="0.2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spans="1:26" ht="12.75" customHeight="1" x14ac:dyDescent="0.2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spans="1:26" ht="12.75" customHeight="1" x14ac:dyDescent="0.2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spans="1:26" ht="12.75" customHeight="1" x14ac:dyDescent="0.2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spans="1:26" ht="12.75" customHeight="1" x14ac:dyDescent="0.2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spans="1:26" ht="12.75" customHeight="1" x14ac:dyDescent="0.2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spans="1:26" ht="12.75" customHeight="1" x14ac:dyDescent="0.2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spans="1:26" ht="12.75" customHeight="1" x14ac:dyDescent="0.2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spans="1:26" ht="12.75" customHeight="1" x14ac:dyDescent="0.2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spans="1:26" ht="12.75" customHeight="1" x14ac:dyDescent="0.2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spans="1:26" ht="12.75" customHeight="1" x14ac:dyDescent="0.2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spans="1:26" ht="12.75" customHeight="1" x14ac:dyDescent="0.2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spans="1:26" ht="12.75" customHeight="1" x14ac:dyDescent="0.2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spans="1:26" ht="12.75" customHeight="1" x14ac:dyDescent="0.2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spans="1:26" ht="12.75" customHeight="1" x14ac:dyDescent="0.2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spans="1:26" ht="12.75" customHeight="1" x14ac:dyDescent="0.2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spans="1:26" ht="12.75" customHeight="1" x14ac:dyDescent="0.2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spans="1:26" ht="12.75" customHeight="1" x14ac:dyDescent="0.2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spans="1:26" ht="12.75" customHeight="1" x14ac:dyDescent="0.2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spans="1:26" ht="12.75" customHeight="1" x14ac:dyDescent="0.2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spans="1:26" ht="12.75" customHeight="1" x14ac:dyDescent="0.2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spans="1:26" ht="12.75" customHeight="1" x14ac:dyDescent="0.2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spans="1:26" ht="12.75" customHeight="1" x14ac:dyDescent="0.2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spans="1:26" ht="12.75" customHeight="1" x14ac:dyDescent="0.2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spans="1:26" ht="12.75" customHeight="1" x14ac:dyDescent="0.2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spans="1:26" ht="12.75" customHeight="1" x14ac:dyDescent="0.2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spans="1:26" ht="12.75" customHeight="1" x14ac:dyDescent="0.2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spans="1:26" ht="12.75" customHeight="1" x14ac:dyDescent="0.2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spans="1:26" ht="12.75" customHeight="1" x14ac:dyDescent="0.2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spans="1:26" ht="12.75" customHeight="1" x14ac:dyDescent="0.2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spans="1:26" ht="12.75" customHeight="1" x14ac:dyDescent="0.2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spans="1:26" ht="12.75" customHeight="1" x14ac:dyDescent="0.2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spans="1:26" ht="12.75" customHeight="1" x14ac:dyDescent="0.2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spans="1:26" ht="12.75" customHeight="1" x14ac:dyDescent="0.2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spans="1:26" ht="12.75" customHeight="1" x14ac:dyDescent="0.2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spans="1:26" ht="12.75" customHeight="1" x14ac:dyDescent="0.2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spans="1:26" ht="12.75" customHeight="1" x14ac:dyDescent="0.2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spans="1:26" ht="12.75" customHeight="1" x14ac:dyDescent="0.2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spans="1:26" ht="12.75" customHeight="1" x14ac:dyDescent="0.2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spans="1:26" ht="12.75" customHeight="1" x14ac:dyDescent="0.2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spans="1:26" ht="12.75" customHeight="1" x14ac:dyDescent="0.2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spans="1:26" ht="12.75" customHeight="1" x14ac:dyDescent="0.2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spans="1:26" ht="12.75" customHeight="1" x14ac:dyDescent="0.2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spans="1:26" ht="12.75" customHeight="1" x14ac:dyDescent="0.2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spans="1:26" ht="12.75" customHeight="1" x14ac:dyDescent="0.2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spans="1:26" ht="12.75" customHeight="1" x14ac:dyDescent="0.2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spans="1:26" ht="12.75" customHeight="1" x14ac:dyDescent="0.2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spans="1:26" ht="12.75" customHeight="1" x14ac:dyDescent="0.2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spans="1:26" ht="12.75" customHeight="1" x14ac:dyDescent="0.2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spans="1:26" ht="12.75" customHeight="1" x14ac:dyDescent="0.2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spans="1:26" ht="12.75" customHeight="1" x14ac:dyDescent="0.2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spans="1:26" ht="12.75" customHeight="1" x14ac:dyDescent="0.2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spans="1:26" ht="12.75" customHeight="1" x14ac:dyDescent="0.2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spans="1:26" ht="12.75" customHeight="1" x14ac:dyDescent="0.2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spans="1:26" ht="12.75" customHeight="1" x14ac:dyDescent="0.2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spans="1:26" ht="12.75" customHeight="1" x14ac:dyDescent="0.2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spans="1:26" ht="12.75" customHeight="1" x14ac:dyDescent="0.2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spans="1:26" ht="12.75" customHeight="1" x14ac:dyDescent="0.2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spans="1:26" ht="12.75" customHeight="1" x14ac:dyDescent="0.2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spans="1:26" ht="12.75" customHeight="1" x14ac:dyDescent="0.2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spans="1:26" ht="12.75" customHeight="1" x14ac:dyDescent="0.2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spans="1:26" ht="12.75" customHeight="1" x14ac:dyDescent="0.2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spans="1:26" ht="12.75" customHeight="1" x14ac:dyDescent="0.2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spans="1:26" ht="12.75" customHeight="1" x14ac:dyDescent="0.2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spans="1:26" ht="12.75" customHeight="1" x14ac:dyDescent="0.2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spans="1:26" ht="12.75" customHeight="1" x14ac:dyDescent="0.2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spans="1:26" ht="12.75" customHeight="1" x14ac:dyDescent="0.2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spans="1:26" ht="12.75" customHeight="1" x14ac:dyDescent="0.2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spans="1:26" ht="12.75" customHeight="1" x14ac:dyDescent="0.2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spans="1:26" ht="12.75" customHeight="1" x14ac:dyDescent="0.2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spans="1:26" ht="12.75" customHeight="1" x14ac:dyDescent="0.2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spans="1:26" ht="12.75" customHeight="1" x14ac:dyDescent="0.2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spans="1:26" ht="12.75" customHeight="1" x14ac:dyDescent="0.2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spans="1:26" ht="12.75" customHeight="1" x14ac:dyDescent="0.2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spans="1:26" ht="12.75" customHeight="1" x14ac:dyDescent="0.2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spans="1:26" ht="12.75" customHeight="1" x14ac:dyDescent="0.2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spans="1:26" ht="12.75" customHeight="1" x14ac:dyDescent="0.2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spans="1:26" ht="12.75" customHeight="1" x14ac:dyDescent="0.2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spans="1:26" ht="12.75" customHeight="1" x14ac:dyDescent="0.2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spans="1:26" ht="12.75" customHeight="1" x14ac:dyDescent="0.2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spans="1:26" ht="12.75" customHeight="1" x14ac:dyDescent="0.2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spans="1:26" ht="12.75" customHeight="1" x14ac:dyDescent="0.2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spans="1:26" ht="12.75" customHeight="1" x14ac:dyDescent="0.2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spans="1:26" ht="12.75" customHeight="1" x14ac:dyDescent="0.2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spans="1:26" ht="12.75" customHeight="1" x14ac:dyDescent="0.2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spans="1:26" ht="12.75" customHeight="1" x14ac:dyDescent="0.2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spans="1:26" ht="12.75" customHeight="1" x14ac:dyDescent="0.2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spans="1:26" ht="12.75" customHeight="1" x14ac:dyDescent="0.2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spans="1:26" ht="12.75" customHeight="1" x14ac:dyDescent="0.2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spans="1:26" ht="12.75" customHeight="1" x14ac:dyDescent="0.2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spans="1:26" ht="12.75" customHeight="1" x14ac:dyDescent="0.2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spans="1:26" ht="12.75" customHeight="1" x14ac:dyDescent="0.2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spans="1:26" ht="12.75" customHeight="1" x14ac:dyDescent="0.2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spans="1:26" ht="12.75" customHeight="1" x14ac:dyDescent="0.2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spans="1:26" ht="12.75" customHeight="1" x14ac:dyDescent="0.2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spans="1:26" ht="12.75" customHeight="1" x14ac:dyDescent="0.2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spans="1:26" ht="12.75" customHeight="1" x14ac:dyDescent="0.2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spans="1:26" ht="12.75" customHeight="1" x14ac:dyDescent="0.2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spans="1:26" ht="12.75" customHeight="1" x14ac:dyDescent="0.2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spans="1:26" ht="12.75" customHeight="1" x14ac:dyDescent="0.2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spans="1:26" ht="12.75" customHeight="1" x14ac:dyDescent="0.2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spans="1:26" ht="12.75" customHeight="1" x14ac:dyDescent="0.2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spans="1:26" ht="12.75" customHeight="1" x14ac:dyDescent="0.2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spans="1:26" ht="12.75" customHeight="1" x14ac:dyDescent="0.2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spans="1:26" ht="12.75" customHeight="1" x14ac:dyDescent="0.2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spans="1:26" ht="12.75" customHeight="1" x14ac:dyDescent="0.2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spans="1:26" ht="12.75" customHeight="1" x14ac:dyDescent="0.2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spans="1:26" ht="12.75" customHeight="1" x14ac:dyDescent="0.2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spans="1:26" ht="12.75" customHeight="1" x14ac:dyDescent="0.2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spans="1:26" ht="12.75" customHeight="1" x14ac:dyDescent="0.2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spans="1:26" ht="12.75" customHeight="1" x14ac:dyDescent="0.2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spans="1:26" ht="12.75" customHeight="1" x14ac:dyDescent="0.2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spans="1:26" ht="12.75" customHeight="1" x14ac:dyDescent="0.2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spans="1:26" ht="12.75" customHeight="1" x14ac:dyDescent="0.2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spans="1:26" ht="12.75" customHeight="1" x14ac:dyDescent="0.2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spans="1:26" ht="12.75" customHeight="1" x14ac:dyDescent="0.2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spans="1:26" ht="12.75" customHeight="1" x14ac:dyDescent="0.2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spans="1:26" ht="12.75" customHeight="1" x14ac:dyDescent="0.2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spans="1:26" ht="12.75" customHeight="1" x14ac:dyDescent="0.2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spans="1:26" ht="12.75" customHeight="1" x14ac:dyDescent="0.2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spans="1:26" ht="12.75" customHeight="1" x14ac:dyDescent="0.2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spans="1:26" ht="12.75" customHeight="1" x14ac:dyDescent="0.2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spans="1:26" ht="12.75" customHeight="1" x14ac:dyDescent="0.2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spans="1:26" ht="12.75" customHeight="1" x14ac:dyDescent="0.2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spans="1:26" ht="12.75" customHeight="1" x14ac:dyDescent="0.2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spans="1:26" ht="12.75" customHeight="1" x14ac:dyDescent="0.2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spans="1:26" ht="12.75" customHeight="1" x14ac:dyDescent="0.2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spans="1:26" ht="12.75" customHeight="1" x14ac:dyDescent="0.2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spans="1:26" ht="12.75" customHeight="1" x14ac:dyDescent="0.2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spans="1:26" ht="12.75" customHeight="1" x14ac:dyDescent="0.2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spans="1:26" ht="12.75" customHeight="1" x14ac:dyDescent="0.2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spans="1:26" ht="12.75" customHeight="1" x14ac:dyDescent="0.2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spans="1:26" ht="12.75" customHeight="1" x14ac:dyDescent="0.2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spans="1:26" ht="12.75" customHeight="1" x14ac:dyDescent="0.2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spans="1:26" ht="12.75" customHeight="1" x14ac:dyDescent="0.2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spans="1:26" ht="12.75" customHeight="1" x14ac:dyDescent="0.2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spans="1:26" ht="12.75" customHeight="1" x14ac:dyDescent="0.2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spans="1:26" ht="12.75" customHeight="1" x14ac:dyDescent="0.2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spans="1:26" ht="12.75" customHeight="1" x14ac:dyDescent="0.2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spans="1:26" ht="12.75" customHeight="1" x14ac:dyDescent="0.2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spans="1:26" ht="12.75" customHeight="1" x14ac:dyDescent="0.2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spans="1:26" ht="12.75" customHeight="1" x14ac:dyDescent="0.2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spans="1:26" ht="12.75" customHeight="1" x14ac:dyDescent="0.2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spans="1:26" ht="12.75" customHeight="1" x14ac:dyDescent="0.2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spans="1:26" ht="12.75" customHeight="1" x14ac:dyDescent="0.2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spans="1:26" ht="12.75" customHeight="1" x14ac:dyDescent="0.2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spans="1:26" ht="12.75" customHeight="1" x14ac:dyDescent="0.2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spans="1:26" ht="12.75" customHeight="1" x14ac:dyDescent="0.2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spans="1:26" ht="12.75" customHeight="1" x14ac:dyDescent="0.2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spans="1:26" ht="12.75" customHeight="1" x14ac:dyDescent="0.2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spans="1:26" ht="12.75" customHeight="1" x14ac:dyDescent="0.2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spans="1:26" ht="12.75" customHeight="1" x14ac:dyDescent="0.2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spans="1:26" ht="12.75" customHeight="1" x14ac:dyDescent="0.2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spans="1:26" ht="12.75" customHeight="1" x14ac:dyDescent="0.2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spans="1:26" ht="12.75" customHeight="1" x14ac:dyDescent="0.2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spans="1:26" ht="12.75" customHeight="1" x14ac:dyDescent="0.2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spans="1:26" ht="12.75" customHeight="1" x14ac:dyDescent="0.2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spans="1:26" ht="12.75" customHeight="1" x14ac:dyDescent="0.2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spans="1:26" ht="12.75" customHeight="1" x14ac:dyDescent="0.2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spans="1:26" ht="12.75" customHeight="1" x14ac:dyDescent="0.2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spans="1:26" ht="12.75" customHeight="1" x14ac:dyDescent="0.2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spans="1:26" ht="12.75" customHeight="1" x14ac:dyDescent="0.2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spans="1:26" ht="12.75" customHeight="1" x14ac:dyDescent="0.2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spans="1:26" ht="12.75" customHeight="1" x14ac:dyDescent="0.2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spans="1:26" ht="12.75" customHeight="1" x14ac:dyDescent="0.2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spans="1:26" ht="12.75" customHeight="1" x14ac:dyDescent="0.2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spans="1:26" ht="12.75" customHeight="1" x14ac:dyDescent="0.2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spans="1:26" ht="12.75" customHeight="1" x14ac:dyDescent="0.2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spans="1:26" ht="12.75" customHeight="1" x14ac:dyDescent="0.2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spans="1:26" ht="12.75" customHeight="1" x14ac:dyDescent="0.2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spans="1:26" ht="12.75" customHeight="1" x14ac:dyDescent="0.2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spans="1:26" ht="12.75" customHeight="1" x14ac:dyDescent="0.2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spans="1:26" ht="12.75" customHeight="1" x14ac:dyDescent="0.2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spans="1:26" ht="12.75" customHeight="1" x14ac:dyDescent="0.2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spans="1:26" ht="12.75" customHeight="1" x14ac:dyDescent="0.2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spans="1:26" ht="12.75" customHeight="1" x14ac:dyDescent="0.2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spans="1:26" ht="12.75" customHeight="1" x14ac:dyDescent="0.2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spans="1:26" ht="12.75" customHeight="1" x14ac:dyDescent="0.2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spans="1:26" ht="12.75" customHeight="1" x14ac:dyDescent="0.2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spans="1:26" ht="12.75" customHeight="1" x14ac:dyDescent="0.2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spans="1:26" ht="12.75" customHeight="1" x14ac:dyDescent="0.2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spans="1:26" ht="12.75" customHeight="1" x14ac:dyDescent="0.2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spans="1:26" ht="12.75" customHeight="1" x14ac:dyDescent="0.2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spans="1:26" ht="12.75" customHeight="1" x14ac:dyDescent="0.2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spans="1:26" ht="12.75" customHeight="1" x14ac:dyDescent="0.2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spans="1:26" ht="12.75" customHeight="1" x14ac:dyDescent="0.2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spans="1:26" ht="12.75" customHeight="1" x14ac:dyDescent="0.2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spans="1:26" ht="12.75" customHeight="1" x14ac:dyDescent="0.2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spans="1:26" ht="12.75" customHeight="1" x14ac:dyDescent="0.2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spans="1:26" ht="12.75" customHeight="1" x14ac:dyDescent="0.2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spans="1:26" ht="12.75" customHeight="1" x14ac:dyDescent="0.2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spans="1:26" ht="12.75" customHeight="1" x14ac:dyDescent="0.2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spans="1:26" ht="12.75" customHeight="1" x14ac:dyDescent="0.2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spans="1:26" ht="12.75" customHeight="1" x14ac:dyDescent="0.2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spans="1:26" ht="12.75" customHeight="1" x14ac:dyDescent="0.2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spans="1:26" ht="12.75" customHeight="1" x14ac:dyDescent="0.2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spans="1:26" ht="12.75" customHeight="1" x14ac:dyDescent="0.2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spans="1:26" ht="12.75" customHeight="1" x14ac:dyDescent="0.2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spans="1:26" ht="12.75" customHeight="1" x14ac:dyDescent="0.2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spans="1:26" ht="12.75" customHeight="1" x14ac:dyDescent="0.2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spans="1:26" ht="12.75" customHeight="1" x14ac:dyDescent="0.2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spans="1:26" ht="12.75" customHeight="1" x14ac:dyDescent="0.2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spans="1:26" ht="12.75" customHeight="1" x14ac:dyDescent="0.2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spans="1:26" ht="12.75" customHeight="1" x14ac:dyDescent="0.2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spans="1:26" ht="12.75" customHeight="1" x14ac:dyDescent="0.2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spans="1:26" ht="12.75" customHeight="1" x14ac:dyDescent="0.2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spans="1:26" ht="12.75" customHeight="1" x14ac:dyDescent="0.2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spans="1:26" ht="12.75" customHeight="1" x14ac:dyDescent="0.2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spans="1:26" ht="12.75" customHeight="1" x14ac:dyDescent="0.2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spans="1:26" ht="12.75" customHeight="1" x14ac:dyDescent="0.2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spans="1:26" ht="12.75" customHeight="1" x14ac:dyDescent="0.2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spans="1:26" ht="12.75" customHeight="1" x14ac:dyDescent="0.2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spans="1:26" ht="12.75" customHeight="1" x14ac:dyDescent="0.2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spans="1:26" ht="12.75" customHeight="1" x14ac:dyDescent="0.2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spans="1:26" ht="12.75" customHeight="1" x14ac:dyDescent="0.2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spans="1:26" ht="12.75" customHeight="1" x14ac:dyDescent="0.2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spans="1:26" ht="12.75" customHeight="1" x14ac:dyDescent="0.2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spans="1:26" ht="12.75" customHeight="1" x14ac:dyDescent="0.2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spans="1:26" ht="12.75" customHeight="1" x14ac:dyDescent="0.2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spans="1:26" ht="12.75" customHeight="1" x14ac:dyDescent="0.2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spans="1:26" ht="12.75" customHeight="1" x14ac:dyDescent="0.2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spans="1:26" ht="12.75" customHeight="1" x14ac:dyDescent="0.2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spans="1:26" ht="12.75" customHeight="1" x14ac:dyDescent="0.2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spans="1:26" ht="12.75" customHeight="1" x14ac:dyDescent="0.2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spans="1:26" ht="12.75" customHeight="1" x14ac:dyDescent="0.2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spans="1:26" ht="12.75" customHeight="1" x14ac:dyDescent="0.2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spans="1:26" ht="12.75" customHeight="1" x14ac:dyDescent="0.2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spans="1:26" ht="12.75" customHeight="1" x14ac:dyDescent="0.2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spans="1:26" ht="12.75" customHeight="1" x14ac:dyDescent="0.2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spans="1:26" ht="12.75" customHeight="1" x14ac:dyDescent="0.2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spans="1:26" ht="12.75" customHeight="1" x14ac:dyDescent="0.2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spans="1:26" ht="12.75" customHeight="1" x14ac:dyDescent="0.2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spans="1:26" ht="12.75" customHeight="1" x14ac:dyDescent="0.2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spans="1:26" ht="12.75" customHeight="1" x14ac:dyDescent="0.2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spans="1:26" ht="12.75" customHeight="1" x14ac:dyDescent="0.2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spans="1:26" ht="12.75" customHeight="1" x14ac:dyDescent="0.2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spans="1:26" ht="12.75" customHeight="1" x14ac:dyDescent="0.2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spans="1:26" ht="12.75" customHeight="1" x14ac:dyDescent="0.2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spans="1:26" ht="12.75" customHeight="1" x14ac:dyDescent="0.2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spans="1:26" ht="12.75" customHeight="1" x14ac:dyDescent="0.2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spans="1:26" ht="12.75" customHeight="1" x14ac:dyDescent="0.2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spans="1:26" ht="12.75" customHeight="1" x14ac:dyDescent="0.2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spans="1:26" ht="12.75" customHeight="1" x14ac:dyDescent="0.2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spans="1:26" ht="12.75" customHeight="1" x14ac:dyDescent="0.2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spans="1:26" ht="12.75" customHeight="1" x14ac:dyDescent="0.2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spans="1:26" ht="12.75" customHeight="1" x14ac:dyDescent="0.2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spans="1:26" ht="12.75" customHeight="1" x14ac:dyDescent="0.2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spans="1:26" ht="12.75" customHeight="1" x14ac:dyDescent="0.2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spans="1:26" ht="12.75" customHeight="1" x14ac:dyDescent="0.2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spans="1:26" ht="12.75" customHeight="1" x14ac:dyDescent="0.2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spans="1:26" ht="12.75" customHeight="1" x14ac:dyDescent="0.2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spans="1:26" ht="12.75" customHeight="1" x14ac:dyDescent="0.2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spans="1:26" ht="12.75" customHeight="1" x14ac:dyDescent="0.2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spans="1:26" ht="12.75" customHeight="1" x14ac:dyDescent="0.2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spans="1:26" ht="12.75" customHeight="1" x14ac:dyDescent="0.2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spans="1:26" ht="12.75" customHeight="1" x14ac:dyDescent="0.2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spans="1:26" ht="12.75" customHeight="1" x14ac:dyDescent="0.2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spans="1:26" ht="12.75" customHeight="1" x14ac:dyDescent="0.2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spans="1:26" ht="12.75" customHeight="1" x14ac:dyDescent="0.2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spans="1:26" ht="12.75" customHeight="1" x14ac:dyDescent="0.2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spans="1:26" ht="12.75" customHeight="1" x14ac:dyDescent="0.2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spans="1:26" ht="12.75" customHeight="1" x14ac:dyDescent="0.2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spans="1:26" ht="12.75" customHeight="1" x14ac:dyDescent="0.2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spans="1:26" ht="12.75" customHeight="1" x14ac:dyDescent="0.2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spans="1:26" ht="12.75" customHeight="1" x14ac:dyDescent="0.2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spans="1:26" ht="12.75" customHeight="1" x14ac:dyDescent="0.2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spans="1:26" ht="12.75" customHeight="1" x14ac:dyDescent="0.2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spans="1:26" ht="12.75" customHeight="1" x14ac:dyDescent="0.2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spans="1:26" ht="12.75" customHeight="1" x14ac:dyDescent="0.2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spans="1:26" ht="12.75" customHeight="1" x14ac:dyDescent="0.2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spans="1:26" ht="12.75" customHeight="1" x14ac:dyDescent="0.2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spans="1:26" ht="12.75" customHeight="1" x14ac:dyDescent="0.2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spans="1:26" ht="12.75" customHeight="1" x14ac:dyDescent="0.2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spans="1:26" ht="12.75" customHeight="1" x14ac:dyDescent="0.2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spans="1:26" ht="12.75" customHeight="1" x14ac:dyDescent="0.2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spans="1:26" ht="12.75" customHeight="1" x14ac:dyDescent="0.2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spans="1:26" ht="12.75" customHeight="1" x14ac:dyDescent="0.2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spans="1:26" ht="12.75" customHeight="1" x14ac:dyDescent="0.2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spans="1:26" ht="12.75" customHeight="1" x14ac:dyDescent="0.2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spans="1:26" ht="12.75" customHeight="1" x14ac:dyDescent="0.2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spans="1:26" ht="12.75" customHeight="1" x14ac:dyDescent="0.2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spans="1:26" ht="12.75" customHeight="1" x14ac:dyDescent="0.2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spans="1:26" ht="12.75" customHeight="1" x14ac:dyDescent="0.2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spans="1:26" ht="12.75" customHeight="1" x14ac:dyDescent="0.2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spans="1:26" ht="12.75" customHeight="1" x14ac:dyDescent="0.2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spans="1:26" ht="12.75" customHeight="1" x14ac:dyDescent="0.2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spans="1:26" ht="12.75" customHeight="1" x14ac:dyDescent="0.2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spans="1:26" ht="12.75" customHeight="1" x14ac:dyDescent="0.2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spans="1:26" ht="12.75" customHeight="1" x14ac:dyDescent="0.2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spans="1:26" ht="12.75" customHeight="1" x14ac:dyDescent="0.2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spans="1:26" ht="12.75" customHeight="1" x14ac:dyDescent="0.2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spans="1:26" ht="12.75" customHeight="1" x14ac:dyDescent="0.2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spans="1:26" ht="12.75" customHeight="1" x14ac:dyDescent="0.2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spans="1:26" ht="12.75" customHeight="1" x14ac:dyDescent="0.2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spans="1:26" ht="12.75" customHeight="1" x14ac:dyDescent="0.2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spans="1:26" ht="12.75" customHeight="1" x14ac:dyDescent="0.2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spans="1:26" ht="12.75" customHeight="1" x14ac:dyDescent="0.2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spans="1:26" ht="12.75" customHeight="1" x14ac:dyDescent="0.2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spans="1:26" ht="12.75" customHeight="1" x14ac:dyDescent="0.2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spans="1:26" ht="12.75" customHeight="1" x14ac:dyDescent="0.2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spans="1:26" ht="12.75" customHeight="1" x14ac:dyDescent="0.2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spans="1:26" ht="12.75" customHeight="1" x14ac:dyDescent="0.2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spans="1:26" ht="12.75" customHeight="1" x14ac:dyDescent="0.2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spans="1:26" ht="12.75" customHeight="1" x14ac:dyDescent="0.2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spans="1:26" ht="12.75" customHeight="1" x14ac:dyDescent="0.2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spans="1:26" ht="12.75" customHeight="1" x14ac:dyDescent="0.2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spans="1:26" ht="12.75" customHeight="1" x14ac:dyDescent="0.2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spans="1:26" ht="12.75" customHeight="1" x14ac:dyDescent="0.2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spans="1:26" ht="12.75" customHeight="1" x14ac:dyDescent="0.2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spans="1:26" ht="12.75" customHeight="1" x14ac:dyDescent="0.2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spans="1:26" ht="12.75" customHeight="1" x14ac:dyDescent="0.2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spans="1:26" ht="12.75" customHeight="1" x14ac:dyDescent="0.2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spans="1:26" ht="12.75" customHeight="1" x14ac:dyDescent="0.2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spans="1:26" ht="12.75" customHeight="1" x14ac:dyDescent="0.2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spans="1:26" ht="12.75" customHeight="1" x14ac:dyDescent="0.2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spans="1:26" ht="12.75" customHeight="1" x14ac:dyDescent="0.2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spans="1:26" ht="12.75" customHeight="1" x14ac:dyDescent="0.2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spans="1:26" ht="12.75" customHeight="1" x14ac:dyDescent="0.2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spans="1:26" ht="12.75" customHeight="1" x14ac:dyDescent="0.2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spans="1:26" ht="12.75" customHeight="1" x14ac:dyDescent="0.2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spans="1:26" ht="12.75" customHeight="1" x14ac:dyDescent="0.2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spans="1:26" ht="12.75" customHeight="1" x14ac:dyDescent="0.2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spans="1:26" ht="12.75" customHeight="1" x14ac:dyDescent="0.2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spans="1:26" ht="12.75" customHeight="1" x14ac:dyDescent="0.2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spans="1:26" ht="12.75" customHeight="1" x14ac:dyDescent="0.2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spans="1:26" ht="12.75" customHeight="1" x14ac:dyDescent="0.2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spans="1:26" ht="12.75" customHeight="1" x14ac:dyDescent="0.2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spans="1:26" ht="12.75" customHeight="1" x14ac:dyDescent="0.2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spans="1:26" ht="12.75" customHeight="1" x14ac:dyDescent="0.2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spans="1:26" ht="12.75" customHeight="1" x14ac:dyDescent="0.2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spans="1:26" ht="12.75" customHeight="1" x14ac:dyDescent="0.2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spans="1:26" ht="12.75" customHeight="1" x14ac:dyDescent="0.2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spans="1:26" ht="12.75" customHeight="1" x14ac:dyDescent="0.2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spans="1:26" ht="12.75" customHeight="1" x14ac:dyDescent="0.2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spans="1:26" ht="12.75" customHeight="1" x14ac:dyDescent="0.2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spans="1:26" ht="12.75" customHeight="1" x14ac:dyDescent="0.2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spans="1:26" ht="12.75" customHeight="1" x14ac:dyDescent="0.2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spans="1:26" ht="12.75" customHeight="1" x14ac:dyDescent="0.2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spans="1:26" ht="12.75" customHeight="1" x14ac:dyDescent="0.2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spans="1:26" ht="12.75" customHeight="1" x14ac:dyDescent="0.2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spans="1:26" ht="12.75" customHeight="1" x14ac:dyDescent="0.2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spans="1:26" ht="12.75" customHeight="1" x14ac:dyDescent="0.2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spans="1:26" ht="12.75" customHeight="1" x14ac:dyDescent="0.2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spans="1:26" ht="12.75" customHeight="1" x14ac:dyDescent="0.2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spans="1:26" ht="12.75" customHeight="1" x14ac:dyDescent="0.2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spans="1:26" ht="12.75" customHeight="1" x14ac:dyDescent="0.2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spans="1:26" ht="12.75" customHeight="1" x14ac:dyDescent="0.2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spans="1:26" ht="12.75" customHeight="1" x14ac:dyDescent="0.2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spans="1:26" ht="12.75" customHeight="1" x14ac:dyDescent="0.2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spans="1:26" ht="12.75" customHeight="1" x14ac:dyDescent="0.2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spans="1:26" ht="12.75" customHeight="1" x14ac:dyDescent="0.2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spans="1:26" ht="12.75" customHeight="1" x14ac:dyDescent="0.2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spans="1:26" ht="12.75" customHeight="1" x14ac:dyDescent="0.2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spans="1:26" ht="12.75" customHeight="1" x14ac:dyDescent="0.2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spans="1:26" ht="12.75" customHeight="1" x14ac:dyDescent="0.2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spans="1:26" ht="12.75" customHeight="1" x14ac:dyDescent="0.2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spans="1:26" ht="12.75" customHeight="1" x14ac:dyDescent="0.2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spans="1:26" ht="12.75" customHeight="1" x14ac:dyDescent="0.2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spans="1:26" ht="12.75" customHeight="1" x14ac:dyDescent="0.2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spans="1:26" ht="12.75" customHeight="1" x14ac:dyDescent="0.2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spans="1:26" ht="12.75" customHeight="1" x14ac:dyDescent="0.2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spans="1:26" ht="12.75" customHeight="1" x14ac:dyDescent="0.2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spans="1:26" ht="12.75" customHeight="1" x14ac:dyDescent="0.2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spans="1:26" ht="12.75" customHeight="1" x14ac:dyDescent="0.2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spans="1:26" ht="12.75" customHeight="1" x14ac:dyDescent="0.2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spans="1:26" ht="12.75" customHeight="1" x14ac:dyDescent="0.2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spans="1:26" ht="12.75" customHeight="1" x14ac:dyDescent="0.2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spans="1:26" ht="12.75" customHeight="1" x14ac:dyDescent="0.2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spans="1:26" ht="12.75" customHeight="1" x14ac:dyDescent="0.2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spans="1:26" ht="12.75" customHeight="1" x14ac:dyDescent="0.2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spans="1:26" ht="12.75" customHeight="1" x14ac:dyDescent="0.2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spans="1:26" ht="12.75" customHeight="1" x14ac:dyDescent="0.2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spans="1:26" ht="12.75" customHeight="1" x14ac:dyDescent="0.2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spans="1:26" ht="12.75" customHeight="1" x14ac:dyDescent="0.2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spans="1:26" ht="12.75" customHeight="1" x14ac:dyDescent="0.2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spans="1:26" ht="12.75" customHeight="1" x14ac:dyDescent="0.2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spans="1:26" ht="12.75" customHeight="1" x14ac:dyDescent="0.2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spans="1:26" ht="12.75" customHeight="1" x14ac:dyDescent="0.2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spans="1:26" ht="12.75" customHeight="1" x14ac:dyDescent="0.2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spans="1:26" ht="12.75" customHeight="1" x14ac:dyDescent="0.2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spans="1:26" ht="12.75" customHeight="1" x14ac:dyDescent="0.2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spans="1:26" ht="12.75" customHeight="1" x14ac:dyDescent="0.2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spans="1:26" ht="12.75" customHeight="1" x14ac:dyDescent="0.2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spans="1:26" ht="12.75" customHeight="1" x14ac:dyDescent="0.2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spans="1:26" ht="12.75" customHeight="1" x14ac:dyDescent="0.2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spans="1:26" ht="12.75" customHeight="1" x14ac:dyDescent="0.2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spans="1:26" ht="12.75" customHeight="1" x14ac:dyDescent="0.2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spans="1:26" ht="12.75" customHeight="1" x14ac:dyDescent="0.2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spans="1:26" ht="12.75" customHeight="1" x14ac:dyDescent="0.2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spans="1:26" ht="12.75" customHeight="1" x14ac:dyDescent="0.2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spans="1:26" ht="12.75" customHeight="1" x14ac:dyDescent="0.2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spans="1:26" ht="12.75" customHeight="1" x14ac:dyDescent="0.2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spans="1:26" ht="12.75" customHeight="1" x14ac:dyDescent="0.2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spans="1:26" ht="12.75" customHeight="1" x14ac:dyDescent="0.2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spans="1:26" ht="12.75" customHeight="1" x14ac:dyDescent="0.2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spans="1:26" ht="12.75" customHeight="1" x14ac:dyDescent="0.2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spans="1:26" ht="12.75" customHeight="1" x14ac:dyDescent="0.2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spans="1:26" ht="12.75" customHeight="1" x14ac:dyDescent="0.2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spans="1:26" ht="12.75" customHeight="1" x14ac:dyDescent="0.2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spans="1:26" ht="12.75" customHeight="1" x14ac:dyDescent="0.2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spans="1:26" ht="12.75" customHeight="1" x14ac:dyDescent="0.2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spans="1:26" ht="12.75" customHeight="1" x14ac:dyDescent="0.2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spans="1:26" ht="12.75" customHeight="1" x14ac:dyDescent="0.2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spans="1:26" ht="12.75" customHeight="1" x14ac:dyDescent="0.2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spans="1:26" ht="12.75" customHeight="1" x14ac:dyDescent="0.2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spans="1:26" ht="12.75" customHeight="1" x14ac:dyDescent="0.2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spans="1:26" ht="12.75" customHeight="1" x14ac:dyDescent="0.2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spans="1:26" ht="12.75" customHeight="1" x14ac:dyDescent="0.2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spans="1:26" ht="12.75" customHeight="1" x14ac:dyDescent="0.2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spans="1:26" ht="12.75" customHeight="1" x14ac:dyDescent="0.2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spans="1:26" ht="12.75" customHeight="1" x14ac:dyDescent="0.2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spans="1:26" ht="12.75" customHeight="1" x14ac:dyDescent="0.2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spans="1:26" ht="12.75" customHeight="1" x14ac:dyDescent="0.2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spans="1:26" ht="12.75" customHeight="1" x14ac:dyDescent="0.2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spans="1:26" ht="12.75" customHeight="1" x14ac:dyDescent="0.2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spans="1:26" ht="12.75" customHeight="1" x14ac:dyDescent="0.2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spans="1:26" ht="12.75" customHeight="1" x14ac:dyDescent="0.2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spans="1:26" ht="12.75" customHeight="1" x14ac:dyDescent="0.2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spans="1:26" ht="12.75" customHeight="1" x14ac:dyDescent="0.2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spans="1:26" ht="12.75" customHeight="1" x14ac:dyDescent="0.2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spans="1:26" ht="12.75" customHeight="1" x14ac:dyDescent="0.2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spans="1:26" ht="12.75" customHeight="1" x14ac:dyDescent="0.2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spans="1:26" ht="12.75" customHeight="1" x14ac:dyDescent="0.2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spans="1:26" ht="12.75" customHeight="1" x14ac:dyDescent="0.2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spans="1:26" ht="12.75" customHeight="1" x14ac:dyDescent="0.2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spans="1:26" ht="12.75" customHeight="1" x14ac:dyDescent="0.2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spans="1:26" ht="12.75" customHeight="1" x14ac:dyDescent="0.2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spans="1:26" ht="12.75" customHeight="1" x14ac:dyDescent="0.2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spans="1:26" ht="12.75" customHeight="1" x14ac:dyDescent="0.2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spans="1:26" ht="12.75" customHeight="1" x14ac:dyDescent="0.2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spans="1:26" ht="12.75" customHeight="1" x14ac:dyDescent="0.2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spans="1:26" ht="12.75" customHeight="1" x14ac:dyDescent="0.2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spans="1:26" ht="12.75" customHeight="1" x14ac:dyDescent="0.2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spans="1:26" ht="12.75" customHeight="1" x14ac:dyDescent="0.2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spans="1:26" ht="12.75" customHeight="1" x14ac:dyDescent="0.2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spans="1:26" ht="12.75" customHeight="1" x14ac:dyDescent="0.2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spans="1:26" ht="12.75" customHeight="1" x14ac:dyDescent="0.2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spans="1:26" ht="12.75" customHeight="1" x14ac:dyDescent="0.2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spans="1:26" ht="12.75" customHeight="1" x14ac:dyDescent="0.2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spans="1:26" ht="12.75" customHeight="1" x14ac:dyDescent="0.2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spans="1:26" ht="12.75" customHeight="1" x14ac:dyDescent="0.2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spans="1:26" ht="12.75" customHeight="1" x14ac:dyDescent="0.2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spans="1:26" ht="12.75" customHeight="1" x14ac:dyDescent="0.2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spans="1:26" ht="12.75" customHeight="1" x14ac:dyDescent="0.2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spans="1:26" ht="12.75" customHeight="1" x14ac:dyDescent="0.2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spans="1:26" ht="12.75" customHeight="1" x14ac:dyDescent="0.2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spans="1:26" ht="12.75" customHeight="1" x14ac:dyDescent="0.2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spans="1:26" ht="12.75" customHeight="1" x14ac:dyDescent="0.2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spans="1:26" ht="12.75" customHeight="1" x14ac:dyDescent="0.2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spans="1:26" ht="12.75" customHeight="1" x14ac:dyDescent="0.2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spans="1:26" ht="12.75" customHeight="1" x14ac:dyDescent="0.2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spans="1:26" ht="12.75" customHeight="1" x14ac:dyDescent="0.2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spans="1:26" ht="12.75" customHeight="1" x14ac:dyDescent="0.2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spans="1:26" ht="12.75" customHeight="1" x14ac:dyDescent="0.2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spans="1:26" ht="12.75" customHeight="1" x14ac:dyDescent="0.2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spans="1:26" ht="12.75" customHeight="1" x14ac:dyDescent="0.2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spans="1:26" ht="12.75" customHeight="1" x14ac:dyDescent="0.2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spans="1:26" ht="12.75" customHeight="1" x14ac:dyDescent="0.2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spans="1:26" ht="12.75" customHeight="1" x14ac:dyDescent="0.2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spans="1:26" ht="12.75" customHeight="1" x14ac:dyDescent="0.2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spans="1:26" ht="12.75" customHeight="1" x14ac:dyDescent="0.2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spans="1:26" ht="12.75" customHeight="1" x14ac:dyDescent="0.2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spans="1:26" ht="12.75" customHeight="1" x14ac:dyDescent="0.2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spans="1:26" ht="12.75" customHeight="1" x14ac:dyDescent="0.2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spans="1:26" ht="12.75" customHeight="1" x14ac:dyDescent="0.2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spans="1:26" ht="12.75" customHeight="1" x14ac:dyDescent="0.2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spans="1:26" ht="12.75" customHeight="1" x14ac:dyDescent="0.2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spans="1:26" ht="12.75" customHeight="1" x14ac:dyDescent="0.2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spans="1:26" ht="12.75" customHeight="1" x14ac:dyDescent="0.2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spans="1:26" ht="12.75" customHeight="1" x14ac:dyDescent="0.2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spans="1:26" ht="12.75" customHeight="1" x14ac:dyDescent="0.2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spans="1:26" ht="12.75" customHeight="1" x14ac:dyDescent="0.2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spans="1:26" ht="12.75" customHeight="1" x14ac:dyDescent="0.2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spans="1:26" ht="12.75" customHeight="1" x14ac:dyDescent="0.2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spans="1:26" ht="12.75" customHeight="1" x14ac:dyDescent="0.2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spans="1:26" ht="12.75" customHeight="1" x14ac:dyDescent="0.2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spans="1:26" ht="12.75" customHeight="1" x14ac:dyDescent="0.2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spans="1:26" ht="12.75" customHeight="1" x14ac:dyDescent="0.2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spans="1:26" ht="12.75" customHeight="1" x14ac:dyDescent="0.2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spans="1:26" ht="12.75" customHeight="1" x14ac:dyDescent="0.2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spans="1:26" ht="12.75" customHeight="1" x14ac:dyDescent="0.2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spans="1:26" ht="12.75" customHeight="1" x14ac:dyDescent="0.2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spans="1:26" ht="12.75" customHeight="1" x14ac:dyDescent="0.2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spans="1:26" ht="12.75" customHeight="1" x14ac:dyDescent="0.2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spans="1:26" ht="12.75" customHeight="1" x14ac:dyDescent="0.2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spans="1:26" ht="12.75" customHeight="1" x14ac:dyDescent="0.2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spans="1:26" ht="12.75" customHeight="1" x14ac:dyDescent="0.2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spans="1:26" ht="12.75" customHeight="1" x14ac:dyDescent="0.2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spans="1:26" ht="12.75" customHeight="1" x14ac:dyDescent="0.2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spans="1:26" ht="12.75" customHeight="1" x14ac:dyDescent="0.2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spans="1:26" ht="12.75" customHeight="1" x14ac:dyDescent="0.2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spans="1:26" ht="12.75" customHeight="1" x14ac:dyDescent="0.2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spans="1:26" ht="12.75" customHeight="1" x14ac:dyDescent="0.2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spans="1:26" ht="12.75" customHeight="1" x14ac:dyDescent="0.2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spans="1:26" ht="12.75" customHeight="1" x14ac:dyDescent="0.2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spans="1:26" ht="12.75" customHeight="1" x14ac:dyDescent="0.2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spans="1:26" ht="12.75" customHeight="1" x14ac:dyDescent="0.2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spans="1:26" ht="12.75" customHeight="1" x14ac:dyDescent="0.2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spans="1:26" ht="12.75" customHeight="1" x14ac:dyDescent="0.2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spans="1:26" ht="12.75" customHeight="1" x14ac:dyDescent="0.2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spans="1:26" ht="12.75" customHeight="1" x14ac:dyDescent="0.2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spans="1:26" ht="12.75" customHeight="1" x14ac:dyDescent="0.2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spans="1:26" ht="12.75" customHeight="1" x14ac:dyDescent="0.2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spans="1:26" ht="12.75" customHeight="1" x14ac:dyDescent="0.2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spans="1:26" ht="12.75" customHeight="1" x14ac:dyDescent="0.2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spans="1:26" ht="12.75" customHeight="1" x14ac:dyDescent="0.2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spans="1:26" ht="12.75" customHeight="1" x14ac:dyDescent="0.2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spans="1:26" ht="12.75" customHeight="1" x14ac:dyDescent="0.2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spans="1:26" ht="12.75" customHeight="1" x14ac:dyDescent="0.2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spans="1:26" ht="12.75" customHeight="1" x14ac:dyDescent="0.2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spans="1:26" ht="12.75" customHeight="1" x14ac:dyDescent="0.2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spans="1:26" ht="12.75" customHeight="1" x14ac:dyDescent="0.2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spans="1:26" ht="12.75" customHeight="1" x14ac:dyDescent="0.2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spans="1:26" ht="12.75" customHeight="1" x14ac:dyDescent="0.2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spans="1:26" ht="12.75" customHeight="1" x14ac:dyDescent="0.2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spans="1:26" ht="12.75" customHeight="1" x14ac:dyDescent="0.2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spans="1:26" ht="12.75" customHeight="1" x14ac:dyDescent="0.2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spans="1:26" ht="12.75" customHeight="1" x14ac:dyDescent="0.2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spans="1:26" ht="12.75" customHeight="1" x14ac:dyDescent="0.2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spans="1:26" ht="12.75" customHeight="1" x14ac:dyDescent="0.2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spans="1:26" ht="12.75" customHeight="1" x14ac:dyDescent="0.2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spans="1:26" ht="12.75" customHeight="1" x14ac:dyDescent="0.2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spans="1:26" ht="12.75" customHeight="1" x14ac:dyDescent="0.2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spans="1:26" ht="12.75" customHeight="1" x14ac:dyDescent="0.2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spans="1:26" ht="12.75" customHeight="1" x14ac:dyDescent="0.2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spans="1:26" ht="12.75" customHeight="1" x14ac:dyDescent="0.2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spans="1:26" ht="12.75" customHeight="1" x14ac:dyDescent="0.2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spans="1:26" ht="12.75" customHeight="1" x14ac:dyDescent="0.2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spans="1:26" ht="12.75" customHeight="1" x14ac:dyDescent="0.2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spans="1:26" ht="12.75" customHeight="1" x14ac:dyDescent="0.2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spans="1:26" ht="12.75" customHeight="1" x14ac:dyDescent="0.2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spans="1:26" ht="12.75" customHeight="1" x14ac:dyDescent="0.2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spans="1:26" ht="12.75" customHeight="1" x14ac:dyDescent="0.2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spans="1:26" ht="12.75" customHeight="1" x14ac:dyDescent="0.2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spans="1:26" ht="12.75" customHeight="1" x14ac:dyDescent="0.2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spans="1:26" ht="12.75" customHeight="1" x14ac:dyDescent="0.2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spans="1:26" ht="12.75" customHeight="1" x14ac:dyDescent="0.2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spans="1:26" ht="12.75" customHeight="1" x14ac:dyDescent="0.2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spans="1:26" ht="12.75" customHeight="1" x14ac:dyDescent="0.2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spans="1:26" ht="12.75" customHeight="1" x14ac:dyDescent="0.2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spans="1:26" ht="12.75" customHeight="1" x14ac:dyDescent="0.2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spans="1:26" ht="12.75" customHeight="1" x14ac:dyDescent="0.2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spans="1:26" ht="12.75" customHeight="1" x14ac:dyDescent="0.2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spans="1:26" ht="12.75" customHeight="1" x14ac:dyDescent="0.2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spans="1:26" ht="12.75" customHeight="1" x14ac:dyDescent="0.2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spans="1:26" ht="12.75" customHeight="1" x14ac:dyDescent="0.2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spans="1:26" ht="12.75" customHeight="1" x14ac:dyDescent="0.2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spans="1:26" ht="12.75" customHeight="1" x14ac:dyDescent="0.2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spans="1:26" ht="12.75" customHeight="1" x14ac:dyDescent="0.2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spans="1:26" ht="12.75" customHeight="1" x14ac:dyDescent="0.2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spans="1:26" ht="12.75" customHeight="1" x14ac:dyDescent="0.2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spans="1:26" ht="12.75" customHeight="1" x14ac:dyDescent="0.2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spans="1:26" ht="12.75" customHeight="1" x14ac:dyDescent="0.2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spans="1:26" ht="12.75" customHeight="1" x14ac:dyDescent="0.2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spans="1:26" ht="12.75" customHeight="1" x14ac:dyDescent="0.2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spans="1:26" ht="12.75" customHeight="1" x14ac:dyDescent="0.2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spans="1:26" ht="12.75" customHeight="1" x14ac:dyDescent="0.2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spans="1:26" ht="12.75" customHeight="1" x14ac:dyDescent="0.2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spans="1:26" ht="12.75" customHeight="1" x14ac:dyDescent="0.2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spans="1:26" ht="12.75" customHeight="1" x14ac:dyDescent="0.2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spans="1:26" ht="12.75" customHeight="1" x14ac:dyDescent="0.2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spans="1:26" ht="12.75" customHeight="1" x14ac:dyDescent="0.2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spans="1:26" ht="12.75" customHeight="1" x14ac:dyDescent="0.2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spans="1:26" ht="12.75" customHeight="1" x14ac:dyDescent="0.2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spans="1:26" ht="12.75" customHeight="1" x14ac:dyDescent="0.2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spans="1:26" ht="12.75" customHeight="1" x14ac:dyDescent="0.2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spans="1:26" ht="12.75" customHeight="1" x14ac:dyDescent="0.2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spans="1:26" ht="12.75" customHeight="1" x14ac:dyDescent="0.2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spans="1:26" ht="12.75" customHeight="1" x14ac:dyDescent="0.2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spans="1:26" ht="12.75" customHeight="1" x14ac:dyDescent="0.2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spans="1:26" ht="12.75" customHeight="1" x14ac:dyDescent="0.2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spans="1:26" ht="12.75" customHeight="1" x14ac:dyDescent="0.2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spans="1:26" ht="12.75" customHeight="1" x14ac:dyDescent="0.2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spans="1:26" ht="12.75" customHeight="1" x14ac:dyDescent="0.2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spans="1:26" ht="12.75" customHeight="1" x14ac:dyDescent="0.2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spans="1:26" ht="12.75" customHeight="1" x14ac:dyDescent="0.2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spans="1:26" ht="12.75" customHeight="1" x14ac:dyDescent="0.2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spans="1:26" ht="12.75" customHeight="1" x14ac:dyDescent="0.2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spans="1:26" ht="12.75" customHeight="1" x14ac:dyDescent="0.2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spans="1:26" ht="12.75" customHeight="1" x14ac:dyDescent="0.2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spans="1:26" ht="12.75" customHeight="1" x14ac:dyDescent="0.2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spans="1:26" ht="12.75" customHeight="1" x14ac:dyDescent="0.2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spans="1:26" ht="12.75" customHeight="1" x14ac:dyDescent="0.2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spans="1:26" ht="12.75" customHeight="1" x14ac:dyDescent="0.2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spans="1:26" ht="12.75" customHeight="1" x14ac:dyDescent="0.2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spans="1:26" ht="12.75" customHeight="1" x14ac:dyDescent="0.2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spans="1:26" ht="12.75" customHeight="1" x14ac:dyDescent="0.2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spans="1:26" ht="12.75" customHeight="1" x14ac:dyDescent="0.2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spans="1:26" ht="12.75" customHeight="1" x14ac:dyDescent="0.2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spans="1:26" ht="12.75" customHeight="1" x14ac:dyDescent="0.2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spans="1:26" ht="12.75" customHeight="1" x14ac:dyDescent="0.2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spans="1:26" ht="12.75" customHeight="1" x14ac:dyDescent="0.2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spans="1:26" ht="12.75" customHeight="1" x14ac:dyDescent="0.2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spans="1:26" ht="12.75" customHeight="1" x14ac:dyDescent="0.2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pageMargins left="0.7" right="0.7" top="0.75" bottom="0.75" header="0" footer="0"/>
  <pageSetup orientation="landscape"/>
  <headerFooter>
    <oddHeader>&amp;CProyección de Ventas</oddHeader>
    <oddFooter>&amp;Rwww.emprenautas.com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000"/>
  <sheetViews>
    <sheetView workbookViewId="0"/>
  </sheetViews>
  <sheetFormatPr baseColWidth="10" defaultColWidth="12.5703125" defaultRowHeight="15" customHeight="1" x14ac:dyDescent="0.2"/>
  <cols>
    <col min="1" max="1" width="3.5703125" customWidth="1"/>
    <col min="2" max="2" width="27.140625" customWidth="1"/>
    <col min="3" max="3" width="9.42578125" customWidth="1"/>
    <col min="4" max="15" width="10.7109375" customWidth="1"/>
    <col min="16" max="16" width="10.28515625" customWidth="1"/>
    <col min="17" max="26" width="10" customWidth="1"/>
  </cols>
  <sheetData>
    <row r="1" spans="1:16" ht="20.25" customHeight="1" x14ac:dyDescent="0.3">
      <c r="A1" s="6"/>
      <c r="M1" s="7" t="str">
        <f>Productos!G1</f>
        <v>Heladería DANG</v>
      </c>
    </row>
    <row r="2" spans="1:16" ht="13.5" customHeight="1" x14ac:dyDescent="0.2"/>
    <row r="3" spans="1:16" ht="26.25" customHeight="1" x14ac:dyDescent="0.2">
      <c r="A3" s="94" t="s">
        <v>53</v>
      </c>
      <c r="B3" s="95" t="s">
        <v>107</v>
      </c>
      <c r="C3" s="95" t="s">
        <v>55</v>
      </c>
      <c r="D3" s="95" t="str">
        <f>Ventas!C3</f>
        <v>Enero</v>
      </c>
      <c r="E3" s="95" t="str">
        <f>Ventas!D3</f>
        <v>Febrero</v>
      </c>
      <c r="F3" s="95" t="str">
        <f>Ventas!E3</f>
        <v>Marzo</v>
      </c>
      <c r="G3" s="95" t="str">
        <f>Ventas!F3</f>
        <v>Abril</v>
      </c>
      <c r="H3" s="95" t="str">
        <f>Ventas!G3</f>
        <v>Mayo</v>
      </c>
      <c r="I3" s="95" t="str">
        <f>Ventas!H3</f>
        <v>Junio</v>
      </c>
      <c r="J3" s="95" t="str">
        <f>Ventas!I3</f>
        <v>Julio</v>
      </c>
      <c r="K3" s="95" t="str">
        <f>Ventas!J3</f>
        <v>Agosto</v>
      </c>
      <c r="L3" s="95" t="str">
        <f>Ventas!K3</f>
        <v>Sept.</v>
      </c>
      <c r="M3" s="95" t="str">
        <f>Ventas!L3</f>
        <v>Oct.</v>
      </c>
      <c r="N3" s="95" t="str">
        <f>Ventas!M3</f>
        <v>Nov.</v>
      </c>
      <c r="O3" s="95" t="str">
        <f>Ventas!N3</f>
        <v>Dic.</v>
      </c>
      <c r="P3" s="96" t="s">
        <v>108</v>
      </c>
    </row>
    <row r="4" spans="1:16" ht="12.75" customHeight="1" x14ac:dyDescent="0.2">
      <c r="A4" s="97">
        <v>1</v>
      </c>
      <c r="B4" s="98" t="str">
        <f>Productos!B6</f>
        <v>Helado por 10 litros liso</v>
      </c>
      <c r="C4" s="98" t="str">
        <f>Productos!C6</f>
        <v xml:space="preserve">Barril </v>
      </c>
      <c r="D4" s="99">
        <f t="shared" ref="D4:O4" si="0">D20</f>
        <v>1200</v>
      </c>
      <c r="E4" s="99">
        <f t="shared" si="0"/>
        <v>1000</v>
      </c>
      <c r="F4" s="99">
        <f t="shared" si="0"/>
        <v>800</v>
      </c>
      <c r="G4" s="99">
        <f t="shared" si="0"/>
        <v>400</v>
      </c>
      <c r="H4" s="99">
        <f t="shared" si="0"/>
        <v>250</v>
      </c>
      <c r="I4" s="99">
        <f t="shared" si="0"/>
        <v>200</v>
      </c>
      <c r="J4" s="99">
        <f t="shared" si="0"/>
        <v>200</v>
      </c>
      <c r="K4" s="99">
        <f t="shared" si="0"/>
        <v>200</v>
      </c>
      <c r="L4" s="99">
        <f t="shared" si="0"/>
        <v>550</v>
      </c>
      <c r="M4" s="99">
        <f t="shared" si="0"/>
        <v>900</v>
      </c>
      <c r="N4" s="99">
        <f t="shared" si="0"/>
        <v>1200</v>
      </c>
      <c r="O4" s="99">
        <f t="shared" si="0"/>
        <v>944</v>
      </c>
      <c r="P4" s="100">
        <f t="shared" ref="P4:P13" si="1">SUM(D4:O4)</f>
        <v>7844</v>
      </c>
    </row>
    <row r="5" spans="1:16" ht="12.75" customHeight="1" x14ac:dyDescent="0.2">
      <c r="A5" s="97">
        <v>2</v>
      </c>
      <c r="B5" s="98" t="str">
        <f>Productos!B7</f>
        <v>Helado por 10 litros con Fruta</v>
      </c>
      <c r="C5" s="98" t="str">
        <f>Productos!C7</f>
        <v xml:space="preserve">Barril </v>
      </c>
      <c r="D5" s="99">
        <f t="shared" ref="D5:O5" si="2">D27</f>
        <v>1200</v>
      </c>
      <c r="E5" s="99">
        <f t="shared" si="2"/>
        <v>1000</v>
      </c>
      <c r="F5" s="99">
        <f t="shared" si="2"/>
        <v>800</v>
      </c>
      <c r="G5" s="99">
        <f t="shared" si="2"/>
        <v>400</v>
      </c>
      <c r="H5" s="99">
        <f t="shared" si="2"/>
        <v>250</v>
      </c>
      <c r="I5" s="99">
        <f t="shared" si="2"/>
        <v>200</v>
      </c>
      <c r="J5" s="99">
        <f t="shared" si="2"/>
        <v>200</v>
      </c>
      <c r="K5" s="99">
        <f t="shared" si="2"/>
        <v>200</v>
      </c>
      <c r="L5" s="99">
        <f t="shared" si="2"/>
        <v>550</v>
      </c>
      <c r="M5" s="99">
        <f t="shared" si="2"/>
        <v>900</v>
      </c>
      <c r="N5" s="99">
        <f t="shared" si="2"/>
        <v>1200</v>
      </c>
      <c r="O5" s="99">
        <f t="shared" si="2"/>
        <v>1200</v>
      </c>
      <c r="P5" s="100">
        <f t="shared" si="1"/>
        <v>8100</v>
      </c>
    </row>
    <row r="6" spans="1:16" ht="12.75" customHeight="1" x14ac:dyDescent="0.2">
      <c r="A6" s="97">
        <v>3</v>
      </c>
      <c r="B6" s="98" t="str">
        <f>Productos!B8</f>
        <v>Helado por 5 litros</v>
      </c>
      <c r="C6" s="98" t="str">
        <f>Productos!C8</f>
        <v>Balde 5 lt.</v>
      </c>
      <c r="D6" s="99">
        <f t="shared" ref="D6:O6" si="3">D34</f>
        <v>800</v>
      </c>
      <c r="E6" s="99">
        <f t="shared" si="3"/>
        <v>800</v>
      </c>
      <c r="F6" s="99">
        <f t="shared" si="3"/>
        <v>600</v>
      </c>
      <c r="G6" s="99">
        <f t="shared" si="3"/>
        <v>600</v>
      </c>
      <c r="H6" s="99">
        <f t="shared" si="3"/>
        <v>450</v>
      </c>
      <c r="I6" s="99">
        <f t="shared" si="3"/>
        <v>200</v>
      </c>
      <c r="J6" s="99">
        <f t="shared" si="3"/>
        <v>0</v>
      </c>
      <c r="K6" s="99">
        <f t="shared" si="3"/>
        <v>0</v>
      </c>
      <c r="L6" s="99">
        <f t="shared" si="3"/>
        <v>350</v>
      </c>
      <c r="M6" s="99">
        <f t="shared" si="3"/>
        <v>650</v>
      </c>
      <c r="N6" s="99">
        <f t="shared" si="3"/>
        <v>950</v>
      </c>
      <c r="O6" s="99">
        <f t="shared" si="3"/>
        <v>950</v>
      </c>
      <c r="P6" s="100">
        <f t="shared" si="1"/>
        <v>6350</v>
      </c>
    </row>
    <row r="7" spans="1:16" ht="12.75" customHeight="1" x14ac:dyDescent="0.2">
      <c r="A7" s="97">
        <v>4</v>
      </c>
      <c r="B7" s="98" t="str">
        <f>Productos!B9</f>
        <v>Balde 5 litros 2 sabores</v>
      </c>
      <c r="C7" s="98" t="str">
        <f>Productos!C9</f>
        <v>Balde 5 lt.</v>
      </c>
      <c r="D7" s="99">
        <f t="shared" ref="D7:O7" si="4">D41</f>
        <v>600</v>
      </c>
      <c r="E7" s="99">
        <f t="shared" si="4"/>
        <v>600</v>
      </c>
      <c r="F7" s="99">
        <f t="shared" si="4"/>
        <v>500</v>
      </c>
      <c r="G7" s="99">
        <f t="shared" si="4"/>
        <v>300</v>
      </c>
      <c r="H7" s="99">
        <f t="shared" si="4"/>
        <v>200</v>
      </c>
      <c r="I7" s="99">
        <f t="shared" si="4"/>
        <v>450</v>
      </c>
      <c r="J7" s="99">
        <f t="shared" si="4"/>
        <v>0</v>
      </c>
      <c r="K7" s="99">
        <f t="shared" si="4"/>
        <v>0</v>
      </c>
      <c r="L7" s="99">
        <f t="shared" si="4"/>
        <v>300</v>
      </c>
      <c r="M7" s="99">
        <f t="shared" si="4"/>
        <v>700</v>
      </c>
      <c r="N7" s="99">
        <f t="shared" si="4"/>
        <v>950</v>
      </c>
      <c r="O7" s="99">
        <f t="shared" si="4"/>
        <v>950</v>
      </c>
      <c r="P7" s="100">
        <f t="shared" si="1"/>
        <v>5550</v>
      </c>
    </row>
    <row r="8" spans="1:16" ht="12.75" customHeight="1" x14ac:dyDescent="0.2">
      <c r="A8" s="97">
        <v>5</v>
      </c>
      <c r="B8" s="98" t="str">
        <f>Productos!B10</f>
        <v>Helado 2 litros liso</v>
      </c>
      <c r="C8" s="98" t="str">
        <f>Productos!C10</f>
        <v>Balde 2 lt.</v>
      </c>
      <c r="D8" s="99">
        <f t="shared" ref="D8:O8" si="5">D48</f>
        <v>900</v>
      </c>
      <c r="E8" s="99">
        <f t="shared" si="5"/>
        <v>1000</v>
      </c>
      <c r="F8" s="99">
        <f t="shared" si="5"/>
        <v>900</v>
      </c>
      <c r="G8" s="99">
        <f t="shared" si="5"/>
        <v>700</v>
      </c>
      <c r="H8" s="99">
        <f t="shared" si="5"/>
        <v>700</v>
      </c>
      <c r="I8" s="99">
        <f t="shared" si="5"/>
        <v>800</v>
      </c>
      <c r="J8" s="99">
        <f t="shared" si="5"/>
        <v>900</v>
      </c>
      <c r="K8" s="99">
        <f t="shared" si="5"/>
        <v>900</v>
      </c>
      <c r="L8" s="99">
        <f t="shared" si="5"/>
        <v>800</v>
      </c>
      <c r="M8" s="99">
        <f t="shared" si="5"/>
        <v>600</v>
      </c>
      <c r="N8" s="99">
        <f t="shared" si="5"/>
        <v>500</v>
      </c>
      <c r="O8" s="99">
        <f t="shared" si="5"/>
        <v>700</v>
      </c>
      <c r="P8" s="100">
        <f t="shared" si="1"/>
        <v>9400</v>
      </c>
    </row>
    <row r="9" spans="1:16" ht="12.75" customHeight="1" x14ac:dyDescent="0.2">
      <c r="A9" s="97">
        <v>6</v>
      </c>
      <c r="B9" s="98" t="str">
        <f>Productos!B11</f>
        <v>Helado 2 litros con Fruta</v>
      </c>
      <c r="C9" s="98" t="str">
        <f>Productos!C11</f>
        <v>Balde 2 lt.</v>
      </c>
      <c r="D9" s="99">
        <f t="shared" ref="D9:O9" si="6">D55</f>
        <v>800</v>
      </c>
      <c r="E9" s="99">
        <f t="shared" si="6"/>
        <v>800</v>
      </c>
      <c r="F9" s="99">
        <f t="shared" si="6"/>
        <v>900</v>
      </c>
      <c r="G9" s="99">
        <f t="shared" si="6"/>
        <v>1000</v>
      </c>
      <c r="H9" s="99">
        <f t="shared" si="6"/>
        <v>1000</v>
      </c>
      <c r="I9" s="99">
        <f t="shared" si="6"/>
        <v>800</v>
      </c>
      <c r="J9" s="99">
        <f t="shared" si="6"/>
        <v>600</v>
      </c>
      <c r="K9" s="99">
        <f t="shared" si="6"/>
        <v>900</v>
      </c>
      <c r="L9" s="99">
        <f t="shared" si="6"/>
        <v>600</v>
      </c>
      <c r="M9" s="99">
        <f t="shared" si="6"/>
        <v>600</v>
      </c>
      <c r="N9" s="99">
        <f t="shared" si="6"/>
        <v>700</v>
      </c>
      <c r="O9" s="99">
        <f t="shared" si="6"/>
        <v>720</v>
      </c>
      <c r="P9" s="100">
        <f t="shared" si="1"/>
        <v>9420</v>
      </c>
    </row>
    <row r="10" spans="1:16" ht="12.75" customHeight="1" x14ac:dyDescent="0.2">
      <c r="A10" s="97">
        <v>7</v>
      </c>
      <c r="B10" s="98" t="str">
        <f>Productos!B12</f>
        <v>Helado 2 litros 2 sabores</v>
      </c>
      <c r="C10" s="98" t="str">
        <f>Productos!C12</f>
        <v>Balde 2 lt.</v>
      </c>
      <c r="D10" s="99">
        <f t="shared" ref="D10:O10" si="7">D62</f>
        <v>800</v>
      </c>
      <c r="E10" s="99">
        <f t="shared" si="7"/>
        <v>800</v>
      </c>
      <c r="F10" s="99">
        <f t="shared" si="7"/>
        <v>800</v>
      </c>
      <c r="G10" s="99">
        <f t="shared" si="7"/>
        <v>700</v>
      </c>
      <c r="H10" s="99">
        <f t="shared" si="7"/>
        <v>600</v>
      </c>
      <c r="I10" s="99">
        <f t="shared" si="7"/>
        <v>1000</v>
      </c>
      <c r="J10" s="99">
        <f t="shared" si="7"/>
        <v>800</v>
      </c>
      <c r="K10" s="99">
        <f t="shared" si="7"/>
        <v>600</v>
      </c>
      <c r="L10" s="99">
        <f t="shared" si="7"/>
        <v>800</v>
      </c>
      <c r="M10" s="99">
        <f t="shared" si="7"/>
        <v>1000</v>
      </c>
      <c r="N10" s="99">
        <f t="shared" si="7"/>
        <v>800</v>
      </c>
      <c r="O10" s="99">
        <f t="shared" si="7"/>
        <v>800</v>
      </c>
      <c r="P10" s="100">
        <f t="shared" si="1"/>
        <v>9500</v>
      </c>
    </row>
    <row r="11" spans="1:16" ht="12.75" customHeight="1" x14ac:dyDescent="0.2">
      <c r="A11" s="97">
        <v>8</v>
      </c>
      <c r="B11" s="98" t="str">
        <f>Productos!B13</f>
        <v>Helado 1 litro liso</v>
      </c>
      <c r="C11" s="98" t="str">
        <f>Productos!C13</f>
        <v>Vaso 1 lt.</v>
      </c>
      <c r="D11" s="99">
        <f t="shared" ref="D11:O11" si="8">D69</f>
        <v>400</v>
      </c>
      <c r="E11" s="99">
        <f t="shared" si="8"/>
        <v>1000</v>
      </c>
      <c r="F11" s="99">
        <f t="shared" si="8"/>
        <v>1000</v>
      </c>
      <c r="G11" s="99">
        <f t="shared" si="8"/>
        <v>600</v>
      </c>
      <c r="H11" s="99">
        <f t="shared" si="8"/>
        <v>800</v>
      </c>
      <c r="I11" s="99">
        <f t="shared" si="8"/>
        <v>600</v>
      </c>
      <c r="J11" s="99">
        <f t="shared" si="8"/>
        <v>900</v>
      </c>
      <c r="K11" s="99">
        <f t="shared" si="8"/>
        <v>700</v>
      </c>
      <c r="L11" s="99">
        <f t="shared" si="8"/>
        <v>700</v>
      </c>
      <c r="M11" s="99">
        <f t="shared" si="8"/>
        <v>700</v>
      </c>
      <c r="N11" s="99">
        <f t="shared" si="8"/>
        <v>800</v>
      </c>
      <c r="O11" s="99">
        <f t="shared" si="8"/>
        <v>1000</v>
      </c>
      <c r="P11" s="100">
        <f t="shared" si="1"/>
        <v>9200</v>
      </c>
    </row>
    <row r="12" spans="1:16" ht="12.75" customHeight="1" x14ac:dyDescent="0.2">
      <c r="A12" s="97">
        <v>9</v>
      </c>
      <c r="B12" s="98" t="str">
        <f>Productos!B14</f>
        <v>Helado 1 litro con Fruta</v>
      </c>
      <c r="C12" s="98" t="str">
        <f>Productos!C14</f>
        <v>Vaso 1 lt.</v>
      </c>
      <c r="D12" s="99">
        <f t="shared" ref="D12:O12" si="9">D76</f>
        <v>500</v>
      </c>
      <c r="E12" s="99">
        <f t="shared" si="9"/>
        <v>800</v>
      </c>
      <c r="F12" s="99">
        <f t="shared" si="9"/>
        <v>800</v>
      </c>
      <c r="G12" s="99">
        <f t="shared" si="9"/>
        <v>700</v>
      </c>
      <c r="H12" s="99">
        <f t="shared" si="9"/>
        <v>800</v>
      </c>
      <c r="I12" s="99">
        <f t="shared" si="9"/>
        <v>700</v>
      </c>
      <c r="J12" s="99">
        <f t="shared" si="9"/>
        <v>600</v>
      </c>
      <c r="K12" s="99">
        <f t="shared" si="9"/>
        <v>700</v>
      </c>
      <c r="L12" s="99">
        <f t="shared" si="9"/>
        <v>900</v>
      </c>
      <c r="M12" s="99">
        <f t="shared" si="9"/>
        <v>1000</v>
      </c>
      <c r="N12" s="99">
        <f t="shared" si="9"/>
        <v>800</v>
      </c>
      <c r="O12" s="99">
        <f t="shared" si="9"/>
        <v>800</v>
      </c>
      <c r="P12" s="100">
        <f t="shared" si="1"/>
        <v>9100</v>
      </c>
    </row>
    <row r="13" spans="1:16" ht="13.5" customHeight="1" x14ac:dyDescent="0.2">
      <c r="A13" s="101">
        <v>10</v>
      </c>
      <c r="B13" s="102" t="str">
        <f>Productos!B15</f>
        <v>Helado 1 litro 2 sabores</v>
      </c>
      <c r="C13" s="102" t="str">
        <f>Productos!C15</f>
        <v>Vaso 1 lt.</v>
      </c>
      <c r="D13" s="103">
        <f t="shared" ref="D13:O13" si="10">D83</f>
        <v>600</v>
      </c>
      <c r="E13" s="103">
        <f t="shared" si="10"/>
        <v>900</v>
      </c>
      <c r="F13" s="103">
        <f t="shared" si="10"/>
        <v>700</v>
      </c>
      <c r="G13" s="103">
        <f t="shared" si="10"/>
        <v>700</v>
      </c>
      <c r="H13" s="103">
        <f t="shared" si="10"/>
        <v>900</v>
      </c>
      <c r="I13" s="103">
        <f t="shared" si="10"/>
        <v>800</v>
      </c>
      <c r="J13" s="103">
        <f t="shared" si="10"/>
        <v>1000</v>
      </c>
      <c r="K13" s="103">
        <f t="shared" si="10"/>
        <v>800</v>
      </c>
      <c r="L13" s="103">
        <f t="shared" si="10"/>
        <v>900</v>
      </c>
      <c r="M13" s="103">
        <f t="shared" si="10"/>
        <v>800</v>
      </c>
      <c r="N13" s="103">
        <f t="shared" si="10"/>
        <v>900</v>
      </c>
      <c r="O13" s="103">
        <f t="shared" si="10"/>
        <v>900</v>
      </c>
      <c r="P13" s="104">
        <f t="shared" si="1"/>
        <v>9900</v>
      </c>
    </row>
    <row r="14" spans="1:16" ht="12.75" customHeight="1" x14ac:dyDescent="0.2">
      <c r="A14" s="105"/>
    </row>
    <row r="15" spans="1:16" ht="12.75" customHeight="1" x14ac:dyDescent="0.2">
      <c r="A15" s="105"/>
    </row>
    <row r="16" spans="1:16" ht="12.75" customHeight="1" x14ac:dyDescent="0.2"/>
    <row r="17" spans="1:16" ht="13.5" customHeight="1" x14ac:dyDescent="0.2"/>
    <row r="18" spans="1:16" ht="26.25" customHeight="1" x14ac:dyDescent="0.2">
      <c r="A18" s="106">
        <v>1</v>
      </c>
      <c r="B18" s="94" t="str">
        <f>B4</f>
        <v>Helado por 10 litros liso</v>
      </c>
      <c r="C18" s="95" t="s">
        <v>55</v>
      </c>
      <c r="D18" s="95" t="str">
        <f>$D$3</f>
        <v>Enero</v>
      </c>
      <c r="E18" s="95" t="str">
        <f>$E$3</f>
        <v>Febrero</v>
      </c>
      <c r="F18" s="95" t="str">
        <f>$F$3</f>
        <v>Marzo</v>
      </c>
      <c r="G18" s="95" t="str">
        <f>$G$3</f>
        <v>Abril</v>
      </c>
      <c r="H18" s="95" t="str">
        <f>$H$3</f>
        <v>Mayo</v>
      </c>
      <c r="I18" s="95" t="str">
        <f>$I$3</f>
        <v>Junio</v>
      </c>
      <c r="J18" s="95" t="str">
        <f>$J$3</f>
        <v>Julio</v>
      </c>
      <c r="K18" s="95" t="str">
        <f>$K$3</f>
        <v>Agosto</v>
      </c>
      <c r="L18" s="95" t="str">
        <f>$L$3</f>
        <v>Sept.</v>
      </c>
      <c r="M18" s="95" t="str">
        <f>$M$3</f>
        <v>Oct.</v>
      </c>
      <c r="N18" s="95" t="str">
        <f>$N$3</f>
        <v>Nov.</v>
      </c>
      <c r="O18" s="96" t="str">
        <f>$O$3</f>
        <v>Dic.</v>
      </c>
      <c r="P18" s="107"/>
    </row>
    <row r="19" spans="1:16" ht="13.5" customHeight="1" x14ac:dyDescent="0.2">
      <c r="B19" s="17" t="s">
        <v>109</v>
      </c>
      <c r="C19" s="98" t="str">
        <f>C4</f>
        <v xml:space="preserve">Barril </v>
      </c>
      <c r="D19" s="108">
        <v>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09"/>
    </row>
    <row r="20" spans="1:16" ht="14.25" customHeight="1" x14ac:dyDescent="0.2">
      <c r="B20" s="110" t="s">
        <v>110</v>
      </c>
      <c r="C20" s="111" t="str">
        <f t="shared" ref="C20:C22" si="11">C19</f>
        <v xml:space="preserve">Barril </v>
      </c>
      <c r="D20" s="112">
        <v>1200</v>
      </c>
      <c r="E20" s="112">
        <v>1000</v>
      </c>
      <c r="F20" s="112">
        <v>800</v>
      </c>
      <c r="G20" s="112">
        <v>400</v>
      </c>
      <c r="H20" s="112">
        <v>250</v>
      </c>
      <c r="I20" s="112">
        <v>200</v>
      </c>
      <c r="J20" s="112">
        <v>200</v>
      </c>
      <c r="K20" s="112">
        <v>200</v>
      </c>
      <c r="L20" s="112">
        <v>550</v>
      </c>
      <c r="M20" s="112">
        <v>900</v>
      </c>
      <c r="N20" s="112">
        <v>1200</v>
      </c>
      <c r="O20" s="113">
        <f>O21</f>
        <v>944</v>
      </c>
    </row>
    <row r="21" spans="1:16" ht="13.5" customHeight="1" x14ac:dyDescent="0.2">
      <c r="B21" s="114" t="s">
        <v>111</v>
      </c>
      <c r="C21" s="115" t="str">
        <f t="shared" si="11"/>
        <v xml:space="preserve">Barril </v>
      </c>
      <c r="D21" s="116">
        <f>Ventas!C4</f>
        <v>1294</v>
      </c>
      <c r="E21" s="116">
        <f>Ventas!D4</f>
        <v>1256</v>
      </c>
      <c r="F21" s="116">
        <f>Ventas!E4</f>
        <v>1145</v>
      </c>
      <c r="G21" s="116">
        <f>Ventas!F4</f>
        <v>1275</v>
      </c>
      <c r="H21" s="116">
        <f>Ventas!G4</f>
        <v>1115</v>
      </c>
      <c r="I21" s="116">
        <f>Ventas!H4</f>
        <v>1015</v>
      </c>
      <c r="J21" s="116">
        <f>Ventas!I4</f>
        <v>1150</v>
      </c>
      <c r="K21" s="116">
        <f>Ventas!J4</f>
        <v>1187</v>
      </c>
      <c r="L21" s="116">
        <f>Ventas!K4</f>
        <v>1240</v>
      </c>
      <c r="M21" s="116">
        <f>Ventas!L4</f>
        <v>1193</v>
      </c>
      <c r="N21" s="116">
        <f>Ventas!M4</f>
        <v>995</v>
      </c>
      <c r="O21" s="117">
        <f>Ventas!N4</f>
        <v>944</v>
      </c>
    </row>
    <row r="22" spans="1:16" ht="13.5" customHeight="1" x14ac:dyDescent="0.2">
      <c r="B22" s="118" t="s">
        <v>112</v>
      </c>
      <c r="C22" s="119" t="str">
        <f t="shared" si="11"/>
        <v xml:space="preserve">Barril </v>
      </c>
      <c r="D22" s="120">
        <f>D19+D20-D21</f>
        <v>-94</v>
      </c>
      <c r="E22" s="120">
        <f t="shared" ref="E22:O22" si="12">D22+E20-E21</f>
        <v>-350</v>
      </c>
      <c r="F22" s="120">
        <f t="shared" si="12"/>
        <v>-695</v>
      </c>
      <c r="G22" s="120">
        <f t="shared" si="12"/>
        <v>-1570</v>
      </c>
      <c r="H22" s="120">
        <f t="shared" si="12"/>
        <v>-2435</v>
      </c>
      <c r="I22" s="120">
        <f t="shared" si="12"/>
        <v>-3250</v>
      </c>
      <c r="J22" s="120">
        <f t="shared" si="12"/>
        <v>-4200</v>
      </c>
      <c r="K22" s="120">
        <f t="shared" si="12"/>
        <v>-5187</v>
      </c>
      <c r="L22" s="120">
        <f t="shared" si="12"/>
        <v>-5877</v>
      </c>
      <c r="M22" s="120">
        <f t="shared" si="12"/>
        <v>-6170</v>
      </c>
      <c r="N22" s="120">
        <f t="shared" si="12"/>
        <v>-5965</v>
      </c>
      <c r="O22" s="121">
        <f t="shared" si="12"/>
        <v>-5965</v>
      </c>
    </row>
    <row r="23" spans="1:16" ht="12.75" customHeight="1" x14ac:dyDescent="0.2"/>
    <row r="24" spans="1:16" ht="13.5" customHeight="1" x14ac:dyDescent="0.2"/>
    <row r="25" spans="1:16" ht="26.25" customHeight="1" x14ac:dyDescent="0.2">
      <c r="A25" s="106">
        <v>2</v>
      </c>
      <c r="B25" s="94" t="str">
        <f>B5</f>
        <v>Helado por 10 litros con Fruta</v>
      </c>
      <c r="C25" s="95" t="s">
        <v>55</v>
      </c>
      <c r="D25" s="95" t="str">
        <f>$D$3</f>
        <v>Enero</v>
      </c>
      <c r="E25" s="95" t="str">
        <f>$E$3</f>
        <v>Febrero</v>
      </c>
      <c r="F25" s="95" t="str">
        <f>$F$3</f>
        <v>Marzo</v>
      </c>
      <c r="G25" s="95" t="str">
        <f>$G$3</f>
        <v>Abril</v>
      </c>
      <c r="H25" s="95" t="str">
        <f>$H$3</f>
        <v>Mayo</v>
      </c>
      <c r="I25" s="95" t="str">
        <f>$I$3</f>
        <v>Junio</v>
      </c>
      <c r="J25" s="95" t="str">
        <f>$J$3</f>
        <v>Julio</v>
      </c>
      <c r="K25" s="95" t="str">
        <f>$K$3</f>
        <v>Agosto</v>
      </c>
      <c r="L25" s="95" t="str">
        <f>$L$3</f>
        <v>Sept.</v>
      </c>
      <c r="M25" s="95" t="str">
        <f>$M$3</f>
        <v>Oct.</v>
      </c>
      <c r="N25" s="95" t="str">
        <f>$N$3</f>
        <v>Nov.</v>
      </c>
      <c r="O25" s="96" t="str">
        <f>$O$3</f>
        <v>Dic.</v>
      </c>
    </row>
    <row r="26" spans="1:16" ht="13.5" customHeight="1" x14ac:dyDescent="0.2">
      <c r="B26" s="17" t="s">
        <v>109</v>
      </c>
      <c r="C26" s="98" t="str">
        <f>C5</f>
        <v xml:space="preserve">Barril </v>
      </c>
      <c r="D26" s="108"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09"/>
    </row>
    <row r="27" spans="1:16" ht="14.25" customHeight="1" x14ac:dyDescent="0.2">
      <c r="B27" s="110" t="s">
        <v>110</v>
      </c>
      <c r="C27" s="111" t="str">
        <f t="shared" ref="C27:C29" si="13">C26</f>
        <v xml:space="preserve">Barril </v>
      </c>
      <c r="D27" s="112">
        <v>1200</v>
      </c>
      <c r="E27" s="112">
        <v>1000</v>
      </c>
      <c r="F27" s="112">
        <v>800</v>
      </c>
      <c r="G27" s="112">
        <v>400</v>
      </c>
      <c r="H27" s="112">
        <v>250</v>
      </c>
      <c r="I27" s="112">
        <v>200</v>
      </c>
      <c r="J27" s="112">
        <v>200</v>
      </c>
      <c r="K27" s="112">
        <v>200</v>
      </c>
      <c r="L27" s="112">
        <v>550</v>
      </c>
      <c r="M27" s="112">
        <v>900</v>
      </c>
      <c r="N27" s="112">
        <v>1200</v>
      </c>
      <c r="O27" s="113">
        <v>1200</v>
      </c>
    </row>
    <row r="28" spans="1:16" ht="13.5" customHeight="1" x14ac:dyDescent="0.2">
      <c r="B28" s="114" t="s">
        <v>111</v>
      </c>
      <c r="C28" s="115" t="str">
        <f t="shared" si="13"/>
        <v xml:space="preserve">Barril </v>
      </c>
      <c r="D28" s="116">
        <f>Ventas!C5</f>
        <v>1032</v>
      </c>
      <c r="E28" s="116">
        <f>Ventas!D5</f>
        <v>1232</v>
      </c>
      <c r="F28" s="116">
        <f>Ventas!E5</f>
        <v>1039</v>
      </c>
      <c r="G28" s="116">
        <f>Ventas!F5</f>
        <v>1186</v>
      </c>
      <c r="H28" s="116">
        <f>Ventas!G5</f>
        <v>1218</v>
      </c>
      <c r="I28" s="116">
        <f>Ventas!H5</f>
        <v>1226</v>
      </c>
      <c r="J28" s="116">
        <f>Ventas!I5</f>
        <v>1284</v>
      </c>
      <c r="K28" s="116">
        <f>Ventas!J5</f>
        <v>1049</v>
      </c>
      <c r="L28" s="116">
        <f>Ventas!K5</f>
        <v>1022</v>
      </c>
      <c r="M28" s="116">
        <f>Ventas!L5</f>
        <v>1218</v>
      </c>
      <c r="N28" s="116">
        <f>Ventas!M5</f>
        <v>1020</v>
      </c>
      <c r="O28" s="117">
        <f>Ventas!N5</f>
        <v>1234</v>
      </c>
    </row>
    <row r="29" spans="1:16" ht="13.5" customHeight="1" x14ac:dyDescent="0.2">
      <c r="B29" s="118" t="s">
        <v>112</v>
      </c>
      <c r="C29" s="119" t="str">
        <f t="shared" si="13"/>
        <v xml:space="preserve">Barril </v>
      </c>
      <c r="D29" s="120">
        <f>D26+D27-D28</f>
        <v>168</v>
      </c>
      <c r="E29" s="120">
        <f t="shared" ref="E29:O29" si="14">D29+E27-E28</f>
        <v>-64</v>
      </c>
      <c r="F29" s="120">
        <f t="shared" si="14"/>
        <v>-303</v>
      </c>
      <c r="G29" s="120">
        <f t="shared" si="14"/>
        <v>-1089</v>
      </c>
      <c r="H29" s="120">
        <f t="shared" si="14"/>
        <v>-2057</v>
      </c>
      <c r="I29" s="120">
        <f t="shared" si="14"/>
        <v>-3083</v>
      </c>
      <c r="J29" s="120">
        <f t="shared" si="14"/>
        <v>-4167</v>
      </c>
      <c r="K29" s="120">
        <f t="shared" si="14"/>
        <v>-5016</v>
      </c>
      <c r="L29" s="120">
        <f t="shared" si="14"/>
        <v>-5488</v>
      </c>
      <c r="M29" s="120">
        <f t="shared" si="14"/>
        <v>-5806</v>
      </c>
      <c r="N29" s="120">
        <f t="shared" si="14"/>
        <v>-5626</v>
      </c>
      <c r="O29" s="121">
        <f t="shared" si="14"/>
        <v>-5660</v>
      </c>
    </row>
    <row r="30" spans="1:16" ht="12.75" customHeight="1" x14ac:dyDescent="0.2"/>
    <row r="31" spans="1:16" ht="13.5" customHeight="1" x14ac:dyDescent="0.2"/>
    <row r="32" spans="1:16" ht="26.25" customHeight="1" x14ac:dyDescent="0.2">
      <c r="A32" s="106">
        <v>3</v>
      </c>
      <c r="B32" s="94" t="str">
        <f>B6</f>
        <v>Helado por 5 litros</v>
      </c>
      <c r="C32" s="95" t="s">
        <v>55</v>
      </c>
      <c r="D32" s="95" t="str">
        <f>$D$3</f>
        <v>Enero</v>
      </c>
      <c r="E32" s="95" t="str">
        <f>$E$3</f>
        <v>Febrero</v>
      </c>
      <c r="F32" s="95" t="str">
        <f>$F$3</f>
        <v>Marzo</v>
      </c>
      <c r="G32" s="95" t="str">
        <f>$G$3</f>
        <v>Abril</v>
      </c>
      <c r="H32" s="95" t="str">
        <f>$H$3</f>
        <v>Mayo</v>
      </c>
      <c r="I32" s="95" t="str">
        <f>$I$3</f>
        <v>Junio</v>
      </c>
      <c r="J32" s="95" t="str">
        <f>$J$3</f>
        <v>Julio</v>
      </c>
      <c r="K32" s="95" t="str">
        <f>$K$3</f>
        <v>Agosto</v>
      </c>
      <c r="L32" s="95" t="str">
        <f>$L$3</f>
        <v>Sept.</v>
      </c>
      <c r="M32" s="95" t="str">
        <f>$M$3</f>
        <v>Oct.</v>
      </c>
      <c r="N32" s="95" t="str">
        <f>$N$3</f>
        <v>Nov.</v>
      </c>
      <c r="O32" s="96" t="str">
        <f>$O$3</f>
        <v>Dic.</v>
      </c>
    </row>
    <row r="33" spans="1:15" ht="13.5" customHeight="1" x14ac:dyDescent="0.2">
      <c r="B33" s="17" t="s">
        <v>109</v>
      </c>
      <c r="C33" s="98" t="str">
        <f>C6</f>
        <v>Balde 5 lt.</v>
      </c>
      <c r="D33" s="122"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09"/>
    </row>
    <row r="34" spans="1:15" ht="14.25" customHeight="1" x14ac:dyDescent="0.2">
      <c r="B34" s="110" t="s">
        <v>110</v>
      </c>
      <c r="C34" s="111" t="str">
        <f t="shared" ref="C34:C36" si="15">C33</f>
        <v>Balde 5 lt.</v>
      </c>
      <c r="D34" s="112">
        <v>800</v>
      </c>
      <c r="E34" s="112">
        <v>800</v>
      </c>
      <c r="F34" s="112">
        <v>600</v>
      </c>
      <c r="G34" s="112">
        <v>600</v>
      </c>
      <c r="H34" s="112">
        <v>450</v>
      </c>
      <c r="I34" s="112">
        <v>200</v>
      </c>
      <c r="J34" s="112">
        <v>0</v>
      </c>
      <c r="K34" s="112">
        <v>0</v>
      </c>
      <c r="L34" s="112">
        <v>350</v>
      </c>
      <c r="M34" s="112">
        <v>650</v>
      </c>
      <c r="N34" s="112">
        <v>950</v>
      </c>
      <c r="O34" s="113">
        <v>950</v>
      </c>
    </row>
    <row r="35" spans="1:15" ht="13.5" customHeight="1" x14ac:dyDescent="0.2">
      <c r="B35" s="114" t="s">
        <v>111</v>
      </c>
      <c r="C35" s="115" t="str">
        <f t="shared" si="15"/>
        <v>Balde 5 lt.</v>
      </c>
      <c r="D35" s="116">
        <f>Ventas!C6</f>
        <v>1226</v>
      </c>
      <c r="E35" s="116">
        <f>Ventas!D6</f>
        <v>1276</v>
      </c>
      <c r="F35" s="116">
        <f>Ventas!E6</f>
        <v>900</v>
      </c>
      <c r="G35" s="116">
        <f>Ventas!F6</f>
        <v>1020</v>
      </c>
      <c r="H35" s="116">
        <f>Ventas!G6</f>
        <v>1187</v>
      </c>
      <c r="I35" s="116">
        <f>Ventas!H6</f>
        <v>1248</v>
      </c>
      <c r="J35" s="116">
        <f>Ventas!I6</f>
        <v>1097</v>
      </c>
      <c r="K35" s="116">
        <f>Ventas!J6</f>
        <v>917</v>
      </c>
      <c r="L35" s="116">
        <f>Ventas!K6</f>
        <v>955</v>
      </c>
      <c r="M35" s="116">
        <f>Ventas!L6</f>
        <v>957</v>
      </c>
      <c r="N35" s="116">
        <f>Ventas!M6</f>
        <v>930</v>
      </c>
      <c r="O35" s="117">
        <f>Ventas!N6</f>
        <v>1134</v>
      </c>
    </row>
    <row r="36" spans="1:15" ht="13.5" customHeight="1" x14ac:dyDescent="0.2">
      <c r="B36" s="118" t="s">
        <v>112</v>
      </c>
      <c r="C36" s="119" t="str">
        <f t="shared" si="15"/>
        <v>Balde 5 lt.</v>
      </c>
      <c r="D36" s="120">
        <f>D33+D34-D35</f>
        <v>-426</v>
      </c>
      <c r="E36" s="120">
        <f t="shared" ref="E36:O36" si="16">D36+E34-E35</f>
        <v>-902</v>
      </c>
      <c r="F36" s="120">
        <f t="shared" si="16"/>
        <v>-1202</v>
      </c>
      <c r="G36" s="120">
        <f t="shared" si="16"/>
        <v>-1622</v>
      </c>
      <c r="H36" s="120">
        <f t="shared" si="16"/>
        <v>-2359</v>
      </c>
      <c r="I36" s="120">
        <f t="shared" si="16"/>
        <v>-3407</v>
      </c>
      <c r="J36" s="120">
        <f t="shared" si="16"/>
        <v>-4504</v>
      </c>
      <c r="K36" s="120">
        <f t="shared" si="16"/>
        <v>-5421</v>
      </c>
      <c r="L36" s="120">
        <f t="shared" si="16"/>
        <v>-6026</v>
      </c>
      <c r="M36" s="120">
        <f t="shared" si="16"/>
        <v>-6333</v>
      </c>
      <c r="N36" s="120">
        <f t="shared" si="16"/>
        <v>-6313</v>
      </c>
      <c r="O36" s="121">
        <f t="shared" si="16"/>
        <v>-6497</v>
      </c>
    </row>
    <row r="37" spans="1:15" ht="12.75" customHeight="1" x14ac:dyDescent="0.2"/>
    <row r="38" spans="1:15" ht="13.5" customHeight="1" x14ac:dyDescent="0.2"/>
    <row r="39" spans="1:15" ht="26.25" customHeight="1" x14ac:dyDescent="0.2">
      <c r="A39" s="106">
        <v>4</v>
      </c>
      <c r="B39" s="94" t="str">
        <f>B7</f>
        <v>Balde 5 litros 2 sabores</v>
      </c>
      <c r="C39" s="95" t="s">
        <v>55</v>
      </c>
      <c r="D39" s="95" t="str">
        <f>$D$3</f>
        <v>Enero</v>
      </c>
      <c r="E39" s="95" t="str">
        <f>$E$3</f>
        <v>Febrero</v>
      </c>
      <c r="F39" s="95" t="str">
        <f>$F$3</f>
        <v>Marzo</v>
      </c>
      <c r="G39" s="95" t="str">
        <f>$G$3</f>
        <v>Abril</v>
      </c>
      <c r="H39" s="95" t="str">
        <f>$H$3</f>
        <v>Mayo</v>
      </c>
      <c r="I39" s="95" t="str">
        <f>$I$3</f>
        <v>Junio</v>
      </c>
      <c r="J39" s="95" t="str">
        <f>$J$3</f>
        <v>Julio</v>
      </c>
      <c r="K39" s="95" t="str">
        <f>$K$3</f>
        <v>Agosto</v>
      </c>
      <c r="L39" s="95" t="str">
        <f>$L$3</f>
        <v>Sept.</v>
      </c>
      <c r="M39" s="95" t="str">
        <f>$M$3</f>
        <v>Oct.</v>
      </c>
      <c r="N39" s="95" t="str">
        <f>$N$3</f>
        <v>Nov.</v>
      </c>
      <c r="O39" s="96" t="str">
        <f>$O$3</f>
        <v>Dic.</v>
      </c>
    </row>
    <row r="40" spans="1:15" ht="13.5" customHeight="1" x14ac:dyDescent="0.2">
      <c r="B40" s="17" t="s">
        <v>109</v>
      </c>
      <c r="C40" s="98" t="str">
        <f>C7</f>
        <v>Balde 5 lt.</v>
      </c>
      <c r="D40" s="122">
        <v>0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09"/>
    </row>
    <row r="41" spans="1:15" ht="14.25" customHeight="1" x14ac:dyDescent="0.2">
      <c r="B41" s="110" t="s">
        <v>110</v>
      </c>
      <c r="C41" s="111" t="str">
        <f t="shared" ref="C41:C43" si="17">C40</f>
        <v>Balde 5 lt.</v>
      </c>
      <c r="D41" s="112">
        <v>600</v>
      </c>
      <c r="E41" s="112">
        <v>600</v>
      </c>
      <c r="F41" s="112">
        <v>500</v>
      </c>
      <c r="G41" s="112">
        <v>300</v>
      </c>
      <c r="H41" s="112">
        <v>200</v>
      </c>
      <c r="I41" s="112">
        <v>450</v>
      </c>
      <c r="J41" s="112">
        <v>0</v>
      </c>
      <c r="K41" s="112">
        <v>0</v>
      </c>
      <c r="L41" s="112">
        <v>300</v>
      </c>
      <c r="M41" s="112">
        <v>700</v>
      </c>
      <c r="N41" s="112">
        <v>950</v>
      </c>
      <c r="O41" s="113">
        <v>950</v>
      </c>
    </row>
    <row r="42" spans="1:15" ht="13.5" customHeight="1" x14ac:dyDescent="0.2">
      <c r="B42" s="114" t="s">
        <v>111</v>
      </c>
      <c r="C42" s="115" t="str">
        <f t="shared" si="17"/>
        <v>Balde 5 lt.</v>
      </c>
      <c r="D42" s="116">
        <f>Ventas!C7</f>
        <v>1082</v>
      </c>
      <c r="E42" s="116">
        <f>Ventas!D7</f>
        <v>1002</v>
      </c>
      <c r="F42" s="116">
        <f>Ventas!E7</f>
        <v>924</v>
      </c>
      <c r="G42" s="116">
        <f>Ventas!F7</f>
        <v>1274</v>
      </c>
      <c r="H42" s="116">
        <f>Ventas!G7</f>
        <v>1176</v>
      </c>
      <c r="I42" s="116">
        <f>Ventas!H7</f>
        <v>1238</v>
      </c>
      <c r="J42" s="116">
        <f>Ventas!I7</f>
        <v>1076</v>
      </c>
      <c r="K42" s="116">
        <f>Ventas!J7</f>
        <v>1063</v>
      </c>
      <c r="L42" s="116">
        <f>Ventas!K7</f>
        <v>1032</v>
      </c>
      <c r="M42" s="116">
        <f>Ventas!L7</f>
        <v>938</v>
      </c>
      <c r="N42" s="116">
        <f>Ventas!M7</f>
        <v>992</v>
      </c>
      <c r="O42" s="117">
        <f>Ventas!N7</f>
        <v>1129</v>
      </c>
    </row>
    <row r="43" spans="1:15" ht="13.5" customHeight="1" x14ac:dyDescent="0.2">
      <c r="B43" s="118" t="s">
        <v>112</v>
      </c>
      <c r="C43" s="119" t="str">
        <f t="shared" si="17"/>
        <v>Balde 5 lt.</v>
      </c>
      <c r="D43" s="120">
        <f>D40+D41-D42</f>
        <v>-482</v>
      </c>
      <c r="E43" s="120">
        <f t="shared" ref="E43:O43" si="18">D43+E41-E42</f>
        <v>-884</v>
      </c>
      <c r="F43" s="120">
        <f t="shared" si="18"/>
        <v>-1308</v>
      </c>
      <c r="G43" s="120">
        <f t="shared" si="18"/>
        <v>-2282</v>
      </c>
      <c r="H43" s="120">
        <f t="shared" si="18"/>
        <v>-3258</v>
      </c>
      <c r="I43" s="120">
        <f t="shared" si="18"/>
        <v>-4046</v>
      </c>
      <c r="J43" s="120">
        <f t="shared" si="18"/>
        <v>-5122</v>
      </c>
      <c r="K43" s="120">
        <f t="shared" si="18"/>
        <v>-6185</v>
      </c>
      <c r="L43" s="120">
        <f t="shared" si="18"/>
        <v>-6917</v>
      </c>
      <c r="M43" s="120">
        <f t="shared" si="18"/>
        <v>-7155</v>
      </c>
      <c r="N43" s="120">
        <f t="shared" si="18"/>
        <v>-7197</v>
      </c>
      <c r="O43" s="121">
        <f t="shared" si="18"/>
        <v>-7376</v>
      </c>
    </row>
    <row r="44" spans="1:15" ht="12.75" customHeight="1" x14ac:dyDescent="0.2"/>
    <row r="45" spans="1:15" ht="13.5" customHeight="1" x14ac:dyDescent="0.2"/>
    <row r="46" spans="1:15" ht="26.25" customHeight="1" x14ac:dyDescent="0.2">
      <c r="A46" s="106">
        <v>5</v>
      </c>
      <c r="B46" s="94" t="str">
        <f>B8</f>
        <v>Helado 2 litros liso</v>
      </c>
      <c r="C46" s="95" t="s">
        <v>55</v>
      </c>
      <c r="D46" s="95" t="str">
        <f>$D$3</f>
        <v>Enero</v>
      </c>
      <c r="E46" s="95" t="str">
        <f>$E$3</f>
        <v>Febrero</v>
      </c>
      <c r="F46" s="95" t="str">
        <f>$F$3</f>
        <v>Marzo</v>
      </c>
      <c r="G46" s="95" t="str">
        <f>$G$3</f>
        <v>Abril</v>
      </c>
      <c r="H46" s="95" t="str">
        <f>$H$3</f>
        <v>Mayo</v>
      </c>
      <c r="I46" s="95" t="str">
        <f>$I$3</f>
        <v>Junio</v>
      </c>
      <c r="J46" s="95" t="str">
        <f>$J$3</f>
        <v>Julio</v>
      </c>
      <c r="K46" s="95" t="str">
        <f>$K$3</f>
        <v>Agosto</v>
      </c>
      <c r="L46" s="95" t="str">
        <f>$L$3</f>
        <v>Sept.</v>
      </c>
      <c r="M46" s="95" t="str">
        <f>$M$3</f>
        <v>Oct.</v>
      </c>
      <c r="N46" s="95" t="str">
        <f>$N$3</f>
        <v>Nov.</v>
      </c>
      <c r="O46" s="96" t="str">
        <f>$O$3</f>
        <v>Dic.</v>
      </c>
    </row>
    <row r="47" spans="1:15" ht="13.5" customHeight="1" x14ac:dyDescent="0.2">
      <c r="B47" s="17" t="s">
        <v>109</v>
      </c>
      <c r="C47" s="98" t="str">
        <f>C8</f>
        <v>Balde 2 lt.</v>
      </c>
      <c r="D47" s="122">
        <v>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09"/>
    </row>
    <row r="48" spans="1:15" ht="14.25" customHeight="1" x14ac:dyDescent="0.2">
      <c r="B48" s="110" t="s">
        <v>110</v>
      </c>
      <c r="C48" s="111" t="str">
        <f t="shared" ref="C48:C50" si="19">C47</f>
        <v>Balde 2 lt.</v>
      </c>
      <c r="D48" s="112">
        <v>900</v>
      </c>
      <c r="E48" s="112">
        <v>1000</v>
      </c>
      <c r="F48" s="112">
        <v>900</v>
      </c>
      <c r="G48" s="112">
        <v>700</v>
      </c>
      <c r="H48" s="112">
        <v>700</v>
      </c>
      <c r="I48" s="112">
        <v>800</v>
      </c>
      <c r="J48" s="112">
        <v>900</v>
      </c>
      <c r="K48" s="112">
        <v>900</v>
      </c>
      <c r="L48" s="112">
        <v>800</v>
      </c>
      <c r="M48" s="112">
        <v>600</v>
      </c>
      <c r="N48" s="112">
        <v>500</v>
      </c>
      <c r="O48" s="113">
        <v>700</v>
      </c>
    </row>
    <row r="49" spans="1:15" ht="13.5" customHeight="1" x14ac:dyDescent="0.2">
      <c r="B49" s="114" t="s">
        <v>111</v>
      </c>
      <c r="C49" s="115" t="str">
        <f t="shared" si="19"/>
        <v>Balde 2 lt.</v>
      </c>
      <c r="D49" s="116">
        <f>Ventas!C8</f>
        <v>1083</v>
      </c>
      <c r="E49" s="116">
        <f>Ventas!D8</f>
        <v>1263</v>
      </c>
      <c r="F49" s="116">
        <f>Ventas!E8</f>
        <v>1049</v>
      </c>
      <c r="G49" s="116">
        <f>Ventas!F8</f>
        <v>1072</v>
      </c>
      <c r="H49" s="116">
        <f>Ventas!G8</f>
        <v>1174</v>
      </c>
      <c r="I49" s="116">
        <f>Ventas!H8</f>
        <v>1059</v>
      </c>
      <c r="J49" s="116">
        <f>Ventas!I8</f>
        <v>1012</v>
      </c>
      <c r="K49" s="116">
        <f>Ventas!J8</f>
        <v>1082</v>
      </c>
      <c r="L49" s="116">
        <f>Ventas!K8</f>
        <v>1024</v>
      </c>
      <c r="M49" s="116">
        <f>Ventas!L8</f>
        <v>1275</v>
      </c>
      <c r="N49" s="116">
        <f>Ventas!M8</f>
        <v>1146</v>
      </c>
      <c r="O49" s="117">
        <f>Ventas!N8</f>
        <v>1289</v>
      </c>
    </row>
    <row r="50" spans="1:15" ht="13.5" customHeight="1" x14ac:dyDescent="0.2">
      <c r="B50" s="118" t="s">
        <v>112</v>
      </c>
      <c r="C50" s="119" t="str">
        <f t="shared" si="19"/>
        <v>Balde 2 lt.</v>
      </c>
      <c r="D50" s="120">
        <f>D47+D48-D49</f>
        <v>-183</v>
      </c>
      <c r="E50" s="120">
        <f t="shared" ref="E50:O50" si="20">D50+E48-E49</f>
        <v>-446</v>
      </c>
      <c r="F50" s="120">
        <f t="shared" si="20"/>
        <v>-595</v>
      </c>
      <c r="G50" s="120">
        <f t="shared" si="20"/>
        <v>-967</v>
      </c>
      <c r="H50" s="120">
        <f t="shared" si="20"/>
        <v>-1441</v>
      </c>
      <c r="I50" s="120">
        <f t="shared" si="20"/>
        <v>-1700</v>
      </c>
      <c r="J50" s="120">
        <f t="shared" si="20"/>
        <v>-1812</v>
      </c>
      <c r="K50" s="120">
        <f t="shared" si="20"/>
        <v>-1994</v>
      </c>
      <c r="L50" s="120">
        <f t="shared" si="20"/>
        <v>-2218</v>
      </c>
      <c r="M50" s="120">
        <f t="shared" si="20"/>
        <v>-2893</v>
      </c>
      <c r="N50" s="120">
        <f t="shared" si="20"/>
        <v>-3539</v>
      </c>
      <c r="O50" s="121">
        <f t="shared" si="20"/>
        <v>-4128</v>
      </c>
    </row>
    <row r="51" spans="1:15" ht="12.75" customHeight="1" x14ac:dyDescent="0.2"/>
    <row r="52" spans="1:15" ht="13.5" customHeight="1" x14ac:dyDescent="0.2"/>
    <row r="53" spans="1:15" ht="26.25" customHeight="1" x14ac:dyDescent="0.2">
      <c r="A53" s="106">
        <v>6</v>
      </c>
      <c r="B53" s="94" t="str">
        <f>B9</f>
        <v>Helado 2 litros con Fruta</v>
      </c>
      <c r="C53" s="95" t="s">
        <v>55</v>
      </c>
      <c r="D53" s="95" t="str">
        <f>$D$3</f>
        <v>Enero</v>
      </c>
      <c r="E53" s="95" t="str">
        <f>$E$3</f>
        <v>Febrero</v>
      </c>
      <c r="F53" s="95" t="str">
        <f>$F$3</f>
        <v>Marzo</v>
      </c>
      <c r="G53" s="95" t="str">
        <f>$G$3</f>
        <v>Abril</v>
      </c>
      <c r="H53" s="95" t="str">
        <f>$H$3</f>
        <v>Mayo</v>
      </c>
      <c r="I53" s="95" t="str">
        <f>$I$3</f>
        <v>Junio</v>
      </c>
      <c r="J53" s="95" t="str">
        <f>$J$3</f>
        <v>Julio</v>
      </c>
      <c r="K53" s="95" t="str">
        <f>$K$3</f>
        <v>Agosto</v>
      </c>
      <c r="L53" s="95" t="str">
        <f>$L$3</f>
        <v>Sept.</v>
      </c>
      <c r="M53" s="95" t="str">
        <f>$M$3</f>
        <v>Oct.</v>
      </c>
      <c r="N53" s="95" t="str">
        <f>$N$3</f>
        <v>Nov.</v>
      </c>
      <c r="O53" s="96" t="str">
        <f>$O$3</f>
        <v>Dic.</v>
      </c>
    </row>
    <row r="54" spans="1:15" ht="13.5" customHeight="1" x14ac:dyDescent="0.2">
      <c r="B54" s="17" t="s">
        <v>109</v>
      </c>
      <c r="C54" s="98" t="str">
        <f>C9</f>
        <v>Balde 2 lt.</v>
      </c>
      <c r="D54" s="122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09"/>
    </row>
    <row r="55" spans="1:15" ht="14.25" customHeight="1" x14ac:dyDescent="0.2">
      <c r="B55" s="110" t="s">
        <v>110</v>
      </c>
      <c r="C55" s="111" t="str">
        <f t="shared" ref="C55:C57" si="21">C54</f>
        <v>Balde 2 lt.</v>
      </c>
      <c r="D55" s="112">
        <v>800</v>
      </c>
      <c r="E55" s="112">
        <v>800</v>
      </c>
      <c r="F55" s="112">
        <v>900</v>
      </c>
      <c r="G55" s="112">
        <v>1000</v>
      </c>
      <c r="H55" s="112">
        <v>1000</v>
      </c>
      <c r="I55" s="112">
        <v>800</v>
      </c>
      <c r="J55" s="112">
        <v>600</v>
      </c>
      <c r="K55" s="112">
        <v>900</v>
      </c>
      <c r="L55" s="112">
        <v>600</v>
      </c>
      <c r="M55" s="112">
        <v>600</v>
      </c>
      <c r="N55" s="112">
        <v>700</v>
      </c>
      <c r="O55" s="113">
        <v>720</v>
      </c>
    </row>
    <row r="56" spans="1:15" ht="13.5" customHeight="1" x14ac:dyDescent="0.2">
      <c r="B56" s="114" t="s">
        <v>111</v>
      </c>
      <c r="C56" s="115" t="str">
        <f t="shared" si="21"/>
        <v>Balde 2 lt.</v>
      </c>
      <c r="D56" s="116">
        <f>Ventas!C9</f>
        <v>1197</v>
      </c>
      <c r="E56" s="116">
        <f>Ventas!D9</f>
        <v>1122</v>
      </c>
      <c r="F56" s="116">
        <f>Ventas!E9</f>
        <v>1037</v>
      </c>
      <c r="G56" s="116">
        <f>Ventas!F9</f>
        <v>1126</v>
      </c>
      <c r="H56" s="116">
        <f>Ventas!G9</f>
        <v>1010</v>
      </c>
      <c r="I56" s="116">
        <f>Ventas!H9</f>
        <v>909</v>
      </c>
      <c r="J56" s="116">
        <f>Ventas!I9</f>
        <v>940</v>
      </c>
      <c r="K56" s="116">
        <f>Ventas!J9</f>
        <v>1023</v>
      </c>
      <c r="L56" s="116">
        <f>Ventas!K9</f>
        <v>1202</v>
      </c>
      <c r="M56" s="116">
        <f>Ventas!L9</f>
        <v>1121</v>
      </c>
      <c r="N56" s="116">
        <f>Ventas!M9</f>
        <v>1050</v>
      </c>
      <c r="O56" s="117">
        <f>Ventas!N9</f>
        <v>1237</v>
      </c>
    </row>
    <row r="57" spans="1:15" ht="13.5" customHeight="1" x14ac:dyDescent="0.2">
      <c r="B57" s="118" t="s">
        <v>112</v>
      </c>
      <c r="C57" s="119" t="str">
        <f t="shared" si="21"/>
        <v>Balde 2 lt.</v>
      </c>
      <c r="D57" s="120">
        <f>D54+D55-D56</f>
        <v>-397</v>
      </c>
      <c r="E57" s="120">
        <f t="shared" ref="E57:O57" si="22">D57+E55-E56</f>
        <v>-719</v>
      </c>
      <c r="F57" s="120">
        <f t="shared" si="22"/>
        <v>-856</v>
      </c>
      <c r="G57" s="120">
        <f t="shared" si="22"/>
        <v>-982</v>
      </c>
      <c r="H57" s="120">
        <f t="shared" si="22"/>
        <v>-992</v>
      </c>
      <c r="I57" s="120">
        <f t="shared" si="22"/>
        <v>-1101</v>
      </c>
      <c r="J57" s="120">
        <f t="shared" si="22"/>
        <v>-1441</v>
      </c>
      <c r="K57" s="120">
        <f t="shared" si="22"/>
        <v>-1564</v>
      </c>
      <c r="L57" s="120">
        <f t="shared" si="22"/>
        <v>-2166</v>
      </c>
      <c r="M57" s="120">
        <f t="shared" si="22"/>
        <v>-2687</v>
      </c>
      <c r="N57" s="120">
        <f t="shared" si="22"/>
        <v>-3037</v>
      </c>
      <c r="O57" s="121">
        <f t="shared" si="22"/>
        <v>-3554</v>
      </c>
    </row>
    <row r="58" spans="1:15" ht="12.75" customHeight="1" x14ac:dyDescent="0.2"/>
    <row r="59" spans="1:15" ht="13.5" customHeight="1" x14ac:dyDescent="0.2"/>
    <row r="60" spans="1:15" ht="26.25" customHeight="1" x14ac:dyDescent="0.2">
      <c r="A60" s="106">
        <v>7</v>
      </c>
      <c r="B60" s="94" t="str">
        <f>B10</f>
        <v>Helado 2 litros 2 sabores</v>
      </c>
      <c r="C60" s="95" t="s">
        <v>55</v>
      </c>
      <c r="D60" s="95" t="str">
        <f>$D$3</f>
        <v>Enero</v>
      </c>
      <c r="E60" s="95" t="str">
        <f>$E$3</f>
        <v>Febrero</v>
      </c>
      <c r="F60" s="95" t="str">
        <f>$F$3</f>
        <v>Marzo</v>
      </c>
      <c r="G60" s="95" t="str">
        <f>$G$3</f>
        <v>Abril</v>
      </c>
      <c r="H60" s="95" t="str">
        <f>$H$3</f>
        <v>Mayo</v>
      </c>
      <c r="I60" s="95" t="str">
        <f>$I$3</f>
        <v>Junio</v>
      </c>
      <c r="J60" s="95" t="str">
        <f>$J$3</f>
        <v>Julio</v>
      </c>
      <c r="K60" s="95" t="str">
        <f>$K$3</f>
        <v>Agosto</v>
      </c>
      <c r="L60" s="95" t="str">
        <f>$L$3</f>
        <v>Sept.</v>
      </c>
      <c r="M60" s="95" t="str">
        <f>$M$3</f>
        <v>Oct.</v>
      </c>
      <c r="N60" s="95" t="str">
        <f>$N$3</f>
        <v>Nov.</v>
      </c>
      <c r="O60" s="96" t="str">
        <f>$O$3</f>
        <v>Dic.</v>
      </c>
    </row>
    <row r="61" spans="1:15" ht="13.5" customHeight="1" x14ac:dyDescent="0.2">
      <c r="B61" s="17" t="s">
        <v>109</v>
      </c>
      <c r="C61" s="98" t="str">
        <f>C10</f>
        <v>Balde 2 lt.</v>
      </c>
      <c r="D61" s="122">
        <v>0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09"/>
    </row>
    <row r="62" spans="1:15" ht="14.25" customHeight="1" x14ac:dyDescent="0.2">
      <c r="B62" s="110" t="s">
        <v>110</v>
      </c>
      <c r="C62" s="111" t="str">
        <f t="shared" ref="C62:C64" si="23">C61</f>
        <v>Balde 2 lt.</v>
      </c>
      <c r="D62" s="112">
        <v>800</v>
      </c>
      <c r="E62" s="112">
        <v>800</v>
      </c>
      <c r="F62" s="112">
        <v>800</v>
      </c>
      <c r="G62" s="112">
        <v>700</v>
      </c>
      <c r="H62" s="112">
        <v>600</v>
      </c>
      <c r="I62" s="112">
        <v>1000</v>
      </c>
      <c r="J62" s="112">
        <v>800</v>
      </c>
      <c r="K62" s="112">
        <v>600</v>
      </c>
      <c r="L62" s="112">
        <v>800</v>
      </c>
      <c r="M62" s="112">
        <v>1000</v>
      </c>
      <c r="N62" s="112">
        <v>800</v>
      </c>
      <c r="O62" s="113">
        <v>800</v>
      </c>
    </row>
    <row r="63" spans="1:15" ht="13.5" customHeight="1" x14ac:dyDescent="0.2">
      <c r="B63" s="114" t="s">
        <v>111</v>
      </c>
      <c r="C63" s="115" t="str">
        <f t="shared" si="23"/>
        <v>Balde 2 lt.</v>
      </c>
      <c r="D63" s="116">
        <f>Ventas!C10</f>
        <v>1128</v>
      </c>
      <c r="E63" s="116">
        <f>Ventas!D10</f>
        <v>988</v>
      </c>
      <c r="F63" s="116">
        <f>Ventas!E10</f>
        <v>927</v>
      </c>
      <c r="G63" s="116">
        <f>Ventas!F10</f>
        <v>1188</v>
      </c>
      <c r="H63" s="116">
        <f>Ventas!G10</f>
        <v>1197</v>
      </c>
      <c r="I63" s="116">
        <f>Ventas!H10</f>
        <v>1003</v>
      </c>
      <c r="J63" s="116">
        <f>Ventas!I10</f>
        <v>1122</v>
      </c>
      <c r="K63" s="116">
        <f>Ventas!J10</f>
        <v>908</v>
      </c>
      <c r="L63" s="116">
        <f>Ventas!K10</f>
        <v>1076</v>
      </c>
      <c r="M63" s="116">
        <f>Ventas!L10</f>
        <v>1140</v>
      </c>
      <c r="N63" s="116">
        <f>Ventas!M10</f>
        <v>1228</v>
      </c>
      <c r="O63" s="117">
        <f>Ventas!N10</f>
        <v>1058</v>
      </c>
    </row>
    <row r="64" spans="1:15" ht="13.5" customHeight="1" x14ac:dyDescent="0.2">
      <c r="B64" s="118" t="s">
        <v>112</v>
      </c>
      <c r="C64" s="119" t="str">
        <f t="shared" si="23"/>
        <v>Balde 2 lt.</v>
      </c>
      <c r="D64" s="120">
        <f>D61+D62-D63</f>
        <v>-328</v>
      </c>
      <c r="E64" s="120">
        <f t="shared" ref="E64:O64" si="24">D64+E62-E63</f>
        <v>-516</v>
      </c>
      <c r="F64" s="120">
        <f t="shared" si="24"/>
        <v>-643</v>
      </c>
      <c r="G64" s="120">
        <f t="shared" si="24"/>
        <v>-1131</v>
      </c>
      <c r="H64" s="120">
        <f t="shared" si="24"/>
        <v>-1728</v>
      </c>
      <c r="I64" s="120">
        <f t="shared" si="24"/>
        <v>-1731</v>
      </c>
      <c r="J64" s="120">
        <f t="shared" si="24"/>
        <v>-2053</v>
      </c>
      <c r="K64" s="120">
        <f t="shared" si="24"/>
        <v>-2361</v>
      </c>
      <c r="L64" s="120">
        <f t="shared" si="24"/>
        <v>-2637</v>
      </c>
      <c r="M64" s="120">
        <f t="shared" si="24"/>
        <v>-2777</v>
      </c>
      <c r="N64" s="120">
        <f t="shared" si="24"/>
        <v>-3205</v>
      </c>
      <c r="O64" s="121">
        <f t="shared" si="24"/>
        <v>-3463</v>
      </c>
    </row>
    <row r="65" spans="1:15" ht="12.75" customHeight="1" x14ac:dyDescent="0.2"/>
    <row r="66" spans="1:15" ht="13.5" customHeight="1" x14ac:dyDescent="0.2"/>
    <row r="67" spans="1:15" ht="26.25" customHeight="1" x14ac:dyDescent="0.2">
      <c r="A67" s="106">
        <v>8</v>
      </c>
      <c r="B67" s="94" t="str">
        <f>B11</f>
        <v>Helado 1 litro liso</v>
      </c>
      <c r="C67" s="95" t="s">
        <v>55</v>
      </c>
      <c r="D67" s="95" t="str">
        <f>$D$3</f>
        <v>Enero</v>
      </c>
      <c r="E67" s="95" t="str">
        <f>$E$3</f>
        <v>Febrero</v>
      </c>
      <c r="F67" s="95" t="str">
        <f>$F$3</f>
        <v>Marzo</v>
      </c>
      <c r="G67" s="95" t="str">
        <f>$G$3</f>
        <v>Abril</v>
      </c>
      <c r="H67" s="95" t="str">
        <f>$H$3</f>
        <v>Mayo</v>
      </c>
      <c r="I67" s="95" t="str">
        <f>$I$3</f>
        <v>Junio</v>
      </c>
      <c r="J67" s="95" t="str">
        <f>$J$3</f>
        <v>Julio</v>
      </c>
      <c r="K67" s="95" t="str">
        <f>$K$3</f>
        <v>Agosto</v>
      </c>
      <c r="L67" s="95" t="str">
        <f>$L$3</f>
        <v>Sept.</v>
      </c>
      <c r="M67" s="95" t="str">
        <f>$M$3</f>
        <v>Oct.</v>
      </c>
      <c r="N67" s="95" t="str">
        <f>$N$3</f>
        <v>Nov.</v>
      </c>
      <c r="O67" s="96" t="str">
        <f>$O$3</f>
        <v>Dic.</v>
      </c>
    </row>
    <row r="68" spans="1:15" ht="13.5" customHeight="1" x14ac:dyDescent="0.2">
      <c r="B68" s="17" t="s">
        <v>109</v>
      </c>
      <c r="C68" s="98" t="str">
        <f>C11</f>
        <v>Vaso 1 lt.</v>
      </c>
      <c r="D68" s="122">
        <v>0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09"/>
    </row>
    <row r="69" spans="1:15" ht="14.25" customHeight="1" x14ac:dyDescent="0.2">
      <c r="B69" s="110" t="s">
        <v>110</v>
      </c>
      <c r="C69" s="111" t="str">
        <f t="shared" ref="C69:C71" si="25">C68</f>
        <v>Vaso 1 lt.</v>
      </c>
      <c r="D69" s="112">
        <v>400</v>
      </c>
      <c r="E69" s="112">
        <v>1000</v>
      </c>
      <c r="F69" s="112">
        <v>1000</v>
      </c>
      <c r="G69" s="112">
        <v>600</v>
      </c>
      <c r="H69" s="112">
        <v>800</v>
      </c>
      <c r="I69" s="112">
        <v>600</v>
      </c>
      <c r="J69" s="112">
        <v>900</v>
      </c>
      <c r="K69" s="112">
        <v>700</v>
      </c>
      <c r="L69" s="112">
        <v>700</v>
      </c>
      <c r="M69" s="112">
        <v>700</v>
      </c>
      <c r="N69" s="112">
        <v>800</v>
      </c>
      <c r="O69" s="113">
        <v>1000</v>
      </c>
    </row>
    <row r="70" spans="1:15" ht="13.5" customHeight="1" x14ac:dyDescent="0.2">
      <c r="B70" s="114" t="s">
        <v>111</v>
      </c>
      <c r="C70" s="115" t="str">
        <f t="shared" si="25"/>
        <v>Vaso 1 lt.</v>
      </c>
      <c r="D70" s="116">
        <f>Ventas!C11</f>
        <v>1158</v>
      </c>
      <c r="E70" s="116">
        <f>Ventas!D11</f>
        <v>1086</v>
      </c>
      <c r="F70" s="116">
        <f>Ventas!E11</f>
        <v>1072</v>
      </c>
      <c r="G70" s="116">
        <f>Ventas!F11</f>
        <v>933</v>
      </c>
      <c r="H70" s="116">
        <f>Ventas!G11</f>
        <v>1033</v>
      </c>
      <c r="I70" s="116">
        <f>Ventas!H11</f>
        <v>1119</v>
      </c>
      <c r="J70" s="116">
        <f>Ventas!I11</f>
        <v>906</v>
      </c>
      <c r="K70" s="116">
        <f>Ventas!J11</f>
        <v>1105</v>
      </c>
      <c r="L70" s="116">
        <f>Ventas!K11</f>
        <v>1299</v>
      </c>
      <c r="M70" s="116">
        <f>Ventas!L11</f>
        <v>1101</v>
      </c>
      <c r="N70" s="116">
        <f>Ventas!M11</f>
        <v>1111</v>
      </c>
      <c r="O70" s="117">
        <f>Ventas!N11</f>
        <v>1007</v>
      </c>
    </row>
    <row r="71" spans="1:15" ht="13.5" customHeight="1" x14ac:dyDescent="0.2">
      <c r="B71" s="118" t="s">
        <v>112</v>
      </c>
      <c r="C71" s="119" t="str">
        <f t="shared" si="25"/>
        <v>Vaso 1 lt.</v>
      </c>
      <c r="D71" s="120">
        <f>D68+D69-D70</f>
        <v>-758</v>
      </c>
      <c r="E71" s="120">
        <f t="shared" ref="E71:O71" si="26">D71+E69-E70</f>
        <v>-844</v>
      </c>
      <c r="F71" s="120">
        <f t="shared" si="26"/>
        <v>-916</v>
      </c>
      <c r="G71" s="120">
        <f t="shared" si="26"/>
        <v>-1249</v>
      </c>
      <c r="H71" s="120">
        <f t="shared" si="26"/>
        <v>-1482</v>
      </c>
      <c r="I71" s="120">
        <f t="shared" si="26"/>
        <v>-2001</v>
      </c>
      <c r="J71" s="120">
        <f t="shared" si="26"/>
        <v>-2007</v>
      </c>
      <c r="K71" s="120">
        <f t="shared" si="26"/>
        <v>-2412</v>
      </c>
      <c r="L71" s="120">
        <f t="shared" si="26"/>
        <v>-3011</v>
      </c>
      <c r="M71" s="120">
        <f t="shared" si="26"/>
        <v>-3412</v>
      </c>
      <c r="N71" s="120">
        <f t="shared" si="26"/>
        <v>-3723</v>
      </c>
      <c r="O71" s="121">
        <f t="shared" si="26"/>
        <v>-3730</v>
      </c>
    </row>
    <row r="72" spans="1:15" ht="12.75" customHeight="1" x14ac:dyDescent="0.2"/>
    <row r="73" spans="1:15" ht="13.5" customHeight="1" x14ac:dyDescent="0.2"/>
    <row r="74" spans="1:15" ht="26.25" customHeight="1" x14ac:dyDescent="0.2">
      <c r="A74" s="106">
        <v>9</v>
      </c>
      <c r="B74" s="94" t="str">
        <f>B12</f>
        <v>Helado 1 litro con Fruta</v>
      </c>
      <c r="C74" s="95" t="s">
        <v>55</v>
      </c>
      <c r="D74" s="95" t="str">
        <f>$D$3</f>
        <v>Enero</v>
      </c>
      <c r="E74" s="95" t="str">
        <f>$E$3</f>
        <v>Febrero</v>
      </c>
      <c r="F74" s="95" t="str">
        <f>$F$3</f>
        <v>Marzo</v>
      </c>
      <c r="G74" s="95" t="str">
        <f>$G$3</f>
        <v>Abril</v>
      </c>
      <c r="H74" s="95" t="str">
        <f>$H$3</f>
        <v>Mayo</v>
      </c>
      <c r="I74" s="95" t="str">
        <f>$I$3</f>
        <v>Junio</v>
      </c>
      <c r="J74" s="95" t="str">
        <f>$J$3</f>
        <v>Julio</v>
      </c>
      <c r="K74" s="95" t="str">
        <f>$K$3</f>
        <v>Agosto</v>
      </c>
      <c r="L74" s="95" t="str">
        <f>$L$3</f>
        <v>Sept.</v>
      </c>
      <c r="M74" s="95" t="str">
        <f>$M$3</f>
        <v>Oct.</v>
      </c>
      <c r="N74" s="95" t="str">
        <f>$N$3</f>
        <v>Nov.</v>
      </c>
      <c r="O74" s="96" t="str">
        <f>$O$3</f>
        <v>Dic.</v>
      </c>
    </row>
    <row r="75" spans="1:15" ht="13.5" customHeight="1" x14ac:dyDescent="0.2">
      <c r="B75" s="17" t="s">
        <v>109</v>
      </c>
      <c r="C75" s="98" t="str">
        <f>C12</f>
        <v>Vaso 1 lt.</v>
      </c>
      <c r="D75" s="122">
        <v>0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09"/>
    </row>
    <row r="76" spans="1:15" ht="14.25" customHeight="1" x14ac:dyDescent="0.2">
      <c r="B76" s="110" t="s">
        <v>110</v>
      </c>
      <c r="C76" s="111" t="str">
        <f t="shared" ref="C76:C78" si="27">C75</f>
        <v>Vaso 1 lt.</v>
      </c>
      <c r="D76" s="112">
        <v>500</v>
      </c>
      <c r="E76" s="112">
        <v>800</v>
      </c>
      <c r="F76" s="112">
        <v>800</v>
      </c>
      <c r="G76" s="112">
        <v>700</v>
      </c>
      <c r="H76" s="112">
        <v>800</v>
      </c>
      <c r="I76" s="112">
        <v>700</v>
      </c>
      <c r="J76" s="112">
        <v>600</v>
      </c>
      <c r="K76" s="112">
        <v>700</v>
      </c>
      <c r="L76" s="112">
        <v>900</v>
      </c>
      <c r="M76" s="112">
        <v>1000</v>
      </c>
      <c r="N76" s="112">
        <v>800</v>
      </c>
      <c r="O76" s="113">
        <v>800</v>
      </c>
    </row>
    <row r="77" spans="1:15" ht="13.5" customHeight="1" x14ac:dyDescent="0.2">
      <c r="B77" s="114" t="s">
        <v>111</v>
      </c>
      <c r="C77" s="115" t="str">
        <f t="shared" si="27"/>
        <v>Vaso 1 lt.</v>
      </c>
      <c r="D77" s="116">
        <f>Ventas!C12</f>
        <v>1164</v>
      </c>
      <c r="E77" s="116">
        <f>Ventas!D12</f>
        <v>1187</v>
      </c>
      <c r="F77" s="116">
        <f>Ventas!E12</f>
        <v>1012</v>
      </c>
      <c r="G77" s="116">
        <f>Ventas!F12</f>
        <v>1012</v>
      </c>
      <c r="H77" s="116">
        <f>Ventas!G12</f>
        <v>1137</v>
      </c>
      <c r="I77" s="116">
        <f>Ventas!H12</f>
        <v>1135</v>
      </c>
      <c r="J77" s="116">
        <f>Ventas!I12</f>
        <v>923</v>
      </c>
      <c r="K77" s="116">
        <f>Ventas!J12</f>
        <v>1083</v>
      </c>
      <c r="L77" s="116">
        <f>Ventas!K12</f>
        <v>1157</v>
      </c>
      <c r="M77" s="116">
        <f>Ventas!L12</f>
        <v>1197</v>
      </c>
      <c r="N77" s="116">
        <f>Ventas!M12</f>
        <v>1030</v>
      </c>
      <c r="O77" s="117">
        <f>Ventas!N12</f>
        <v>1287</v>
      </c>
    </row>
    <row r="78" spans="1:15" ht="13.5" customHeight="1" x14ac:dyDescent="0.2">
      <c r="B78" s="118" t="s">
        <v>112</v>
      </c>
      <c r="C78" s="119" t="str">
        <f t="shared" si="27"/>
        <v>Vaso 1 lt.</v>
      </c>
      <c r="D78" s="120">
        <f>D75+D76-D77</f>
        <v>-664</v>
      </c>
      <c r="E78" s="120">
        <f t="shared" ref="E78:O78" si="28">D78+E76-E77</f>
        <v>-1051</v>
      </c>
      <c r="F78" s="120">
        <f t="shared" si="28"/>
        <v>-1263</v>
      </c>
      <c r="G78" s="120">
        <f t="shared" si="28"/>
        <v>-1575</v>
      </c>
      <c r="H78" s="120">
        <f t="shared" si="28"/>
        <v>-1912</v>
      </c>
      <c r="I78" s="120">
        <f t="shared" si="28"/>
        <v>-2347</v>
      </c>
      <c r="J78" s="120">
        <f t="shared" si="28"/>
        <v>-2670</v>
      </c>
      <c r="K78" s="120">
        <f t="shared" si="28"/>
        <v>-3053</v>
      </c>
      <c r="L78" s="120">
        <f t="shared" si="28"/>
        <v>-3310</v>
      </c>
      <c r="M78" s="120">
        <f t="shared" si="28"/>
        <v>-3507</v>
      </c>
      <c r="N78" s="120">
        <f t="shared" si="28"/>
        <v>-3737</v>
      </c>
      <c r="O78" s="121">
        <f t="shared" si="28"/>
        <v>-4224</v>
      </c>
    </row>
    <row r="79" spans="1:15" ht="12.75" customHeight="1" x14ac:dyDescent="0.2"/>
    <row r="80" spans="1:15" ht="13.5" customHeight="1" x14ac:dyDescent="0.2"/>
    <row r="81" spans="1:15" ht="26.25" customHeight="1" x14ac:dyDescent="0.2">
      <c r="A81" s="106">
        <v>10</v>
      </c>
      <c r="B81" s="94" t="str">
        <f>B13</f>
        <v>Helado 1 litro 2 sabores</v>
      </c>
      <c r="C81" s="95" t="s">
        <v>55</v>
      </c>
      <c r="D81" s="95" t="str">
        <f>$D$3</f>
        <v>Enero</v>
      </c>
      <c r="E81" s="95" t="str">
        <f>$E$3</f>
        <v>Febrero</v>
      </c>
      <c r="F81" s="95" t="str">
        <f>$F$3</f>
        <v>Marzo</v>
      </c>
      <c r="G81" s="95" t="str">
        <f>$G$3</f>
        <v>Abril</v>
      </c>
      <c r="H81" s="95" t="str">
        <f>$H$3</f>
        <v>Mayo</v>
      </c>
      <c r="I81" s="95" t="str">
        <f>$I$3</f>
        <v>Junio</v>
      </c>
      <c r="J81" s="95" t="str">
        <f>$J$3</f>
        <v>Julio</v>
      </c>
      <c r="K81" s="95" t="str">
        <f>$K$3</f>
        <v>Agosto</v>
      </c>
      <c r="L81" s="95" t="str">
        <f>$L$3</f>
        <v>Sept.</v>
      </c>
      <c r="M81" s="95" t="str">
        <f>$M$3</f>
        <v>Oct.</v>
      </c>
      <c r="N81" s="95" t="str">
        <f>$N$3</f>
        <v>Nov.</v>
      </c>
      <c r="O81" s="96" t="str">
        <f>$O$3</f>
        <v>Dic.</v>
      </c>
    </row>
    <row r="82" spans="1:15" ht="13.5" customHeight="1" x14ac:dyDescent="0.2">
      <c r="B82" s="17" t="s">
        <v>109</v>
      </c>
      <c r="C82" s="98" t="str">
        <f>C13</f>
        <v>Vaso 1 lt.</v>
      </c>
      <c r="D82" s="122">
        <v>0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09"/>
    </row>
    <row r="83" spans="1:15" ht="14.25" customHeight="1" x14ac:dyDescent="0.2">
      <c r="B83" s="110" t="s">
        <v>110</v>
      </c>
      <c r="C83" s="111" t="str">
        <f t="shared" ref="C83:C85" si="29">C82</f>
        <v>Vaso 1 lt.</v>
      </c>
      <c r="D83" s="112">
        <v>600</v>
      </c>
      <c r="E83" s="112">
        <v>900</v>
      </c>
      <c r="F83" s="112">
        <v>700</v>
      </c>
      <c r="G83" s="112">
        <v>700</v>
      </c>
      <c r="H83" s="112">
        <v>900</v>
      </c>
      <c r="I83" s="112">
        <v>800</v>
      </c>
      <c r="J83" s="112">
        <v>1000</v>
      </c>
      <c r="K83" s="112">
        <v>800</v>
      </c>
      <c r="L83" s="112">
        <v>900</v>
      </c>
      <c r="M83" s="112">
        <v>800</v>
      </c>
      <c r="N83" s="112">
        <v>900</v>
      </c>
      <c r="O83" s="113">
        <v>900</v>
      </c>
    </row>
    <row r="84" spans="1:15" ht="13.5" customHeight="1" x14ac:dyDescent="0.2">
      <c r="B84" s="114" t="s">
        <v>111</v>
      </c>
      <c r="C84" s="115" t="str">
        <f t="shared" si="29"/>
        <v>Vaso 1 lt.</v>
      </c>
      <c r="D84" s="116">
        <f>Ventas!C13</f>
        <v>1260</v>
      </c>
      <c r="E84" s="116">
        <f>Ventas!D13</f>
        <v>1077</v>
      </c>
      <c r="F84" s="116">
        <f>Ventas!E13</f>
        <v>911</v>
      </c>
      <c r="G84" s="116">
        <f>Ventas!F13</f>
        <v>937</v>
      </c>
      <c r="H84" s="116">
        <f>Ventas!G13</f>
        <v>1277</v>
      </c>
      <c r="I84" s="116">
        <f>Ventas!H13</f>
        <v>1013</v>
      </c>
      <c r="J84" s="116">
        <f>Ventas!I13</f>
        <v>1274</v>
      </c>
      <c r="K84" s="116">
        <f>Ventas!J13</f>
        <v>990</v>
      </c>
      <c r="L84" s="116">
        <f>Ventas!K13</f>
        <v>1067</v>
      </c>
      <c r="M84" s="116">
        <f>Ventas!L13</f>
        <v>909</v>
      </c>
      <c r="N84" s="116">
        <f>Ventas!M13</f>
        <v>1022</v>
      </c>
      <c r="O84" s="117">
        <f>Ventas!N13</f>
        <v>1057</v>
      </c>
    </row>
    <row r="85" spans="1:15" ht="13.5" customHeight="1" x14ac:dyDescent="0.2">
      <c r="B85" s="118" t="s">
        <v>112</v>
      </c>
      <c r="C85" s="119" t="str">
        <f t="shared" si="29"/>
        <v>Vaso 1 lt.</v>
      </c>
      <c r="D85" s="120">
        <f>D82+D83-D84</f>
        <v>-660</v>
      </c>
      <c r="E85" s="120">
        <f t="shared" ref="E85:O85" si="30">D85+E83-E84</f>
        <v>-837</v>
      </c>
      <c r="F85" s="120">
        <f t="shared" si="30"/>
        <v>-1048</v>
      </c>
      <c r="G85" s="120">
        <f t="shared" si="30"/>
        <v>-1285</v>
      </c>
      <c r="H85" s="120">
        <f t="shared" si="30"/>
        <v>-1662</v>
      </c>
      <c r="I85" s="120">
        <f t="shared" si="30"/>
        <v>-1875</v>
      </c>
      <c r="J85" s="120">
        <f t="shared" si="30"/>
        <v>-2149</v>
      </c>
      <c r="K85" s="120">
        <f t="shared" si="30"/>
        <v>-2339</v>
      </c>
      <c r="L85" s="120">
        <f t="shared" si="30"/>
        <v>-2506</v>
      </c>
      <c r="M85" s="120">
        <f t="shared" si="30"/>
        <v>-2615</v>
      </c>
      <c r="N85" s="120">
        <f t="shared" si="30"/>
        <v>-2737</v>
      </c>
      <c r="O85" s="121">
        <f t="shared" si="30"/>
        <v>-2894</v>
      </c>
    </row>
    <row r="86" spans="1:15" ht="12.75" customHeight="1" x14ac:dyDescent="0.2"/>
    <row r="87" spans="1:15" ht="12.75" customHeight="1" x14ac:dyDescent="0.2"/>
    <row r="88" spans="1:15" ht="13.5" customHeight="1" x14ac:dyDescent="0.2"/>
    <row r="89" spans="1:15" ht="26.25" customHeight="1" x14ac:dyDescent="0.2">
      <c r="A89" s="94" t="s">
        <v>53</v>
      </c>
      <c r="B89" s="95" t="s">
        <v>113</v>
      </c>
      <c r="C89" s="95" t="s">
        <v>55</v>
      </c>
      <c r="D89" s="95" t="s">
        <v>114</v>
      </c>
      <c r="E89" s="95" t="s">
        <v>115</v>
      </c>
      <c r="F89" s="95" t="s">
        <v>116</v>
      </c>
    </row>
    <row r="90" spans="1:15" ht="12.75" customHeight="1" x14ac:dyDescent="0.2">
      <c r="A90" s="97">
        <v>1</v>
      </c>
      <c r="B90" s="98" t="str">
        <f t="shared" ref="B90:C90" si="31">B4</f>
        <v>Helado por 10 litros liso</v>
      </c>
      <c r="C90" s="98" t="str">
        <f t="shared" si="31"/>
        <v xml:space="preserve">Barril </v>
      </c>
      <c r="D90" s="99">
        <f>O22</f>
        <v>-5965</v>
      </c>
      <c r="E90" s="123">
        <f>Productos!E31</f>
        <v>59400</v>
      </c>
      <c r="F90" s="124">
        <f t="shared" ref="F90:F99" si="32">D90*E90</f>
        <v>-354321000</v>
      </c>
    </row>
    <row r="91" spans="1:15" ht="12.75" customHeight="1" x14ac:dyDescent="0.2">
      <c r="A91" s="97">
        <v>2</v>
      </c>
      <c r="B91" s="98" t="str">
        <f t="shared" ref="B91:C91" si="33">B5</f>
        <v>Helado por 10 litros con Fruta</v>
      </c>
      <c r="C91" s="98" t="str">
        <f t="shared" si="33"/>
        <v xml:space="preserve">Barril </v>
      </c>
      <c r="D91" s="99">
        <f>O29</f>
        <v>-5660</v>
      </c>
      <c r="E91" s="123">
        <f>Productos!E32</f>
        <v>75400</v>
      </c>
      <c r="F91" s="124">
        <f t="shared" si="32"/>
        <v>-426764000</v>
      </c>
    </row>
    <row r="92" spans="1:15" ht="12.75" customHeight="1" x14ac:dyDescent="0.2">
      <c r="A92" s="97">
        <v>3</v>
      </c>
      <c r="B92" s="98" t="str">
        <f t="shared" ref="B92:C92" si="34">B6</f>
        <v>Helado por 5 litros</v>
      </c>
      <c r="C92" s="98" t="str">
        <f t="shared" si="34"/>
        <v>Balde 5 lt.</v>
      </c>
      <c r="D92" s="99">
        <f>O36</f>
        <v>-6497</v>
      </c>
      <c r="E92" s="123">
        <f>Productos!E33</f>
        <v>23350</v>
      </c>
      <c r="F92" s="124">
        <f t="shared" si="32"/>
        <v>-151704950</v>
      </c>
    </row>
    <row r="93" spans="1:15" ht="12.75" customHeight="1" x14ac:dyDescent="0.2">
      <c r="A93" s="97">
        <v>4</v>
      </c>
      <c r="B93" s="98" t="str">
        <f t="shared" ref="B93:C93" si="35">B7</f>
        <v>Balde 5 litros 2 sabores</v>
      </c>
      <c r="C93" s="98" t="str">
        <f t="shared" si="35"/>
        <v>Balde 5 lt.</v>
      </c>
      <c r="D93" s="99">
        <f>O43</f>
        <v>-7376</v>
      </c>
      <c r="E93" s="123">
        <f>Productos!E34</f>
        <v>22810</v>
      </c>
      <c r="F93" s="124">
        <f t="shared" si="32"/>
        <v>-168246560</v>
      </c>
    </row>
    <row r="94" spans="1:15" ht="12.75" customHeight="1" x14ac:dyDescent="0.2">
      <c r="A94" s="97">
        <v>5</v>
      </c>
      <c r="B94" s="98" t="str">
        <f t="shared" ref="B94:C94" si="36">B8</f>
        <v>Helado 2 litros liso</v>
      </c>
      <c r="C94" s="98" t="str">
        <f t="shared" si="36"/>
        <v>Balde 2 lt.</v>
      </c>
      <c r="D94" s="99">
        <f>O50</f>
        <v>-4128</v>
      </c>
      <c r="E94" s="123">
        <f>Productos!E35</f>
        <v>7450</v>
      </c>
      <c r="F94" s="124">
        <f t="shared" si="32"/>
        <v>-30753600</v>
      </c>
    </row>
    <row r="95" spans="1:15" ht="12.75" customHeight="1" x14ac:dyDescent="0.2">
      <c r="A95" s="97">
        <v>6</v>
      </c>
      <c r="B95" s="98" t="str">
        <f t="shared" ref="B95:C95" si="37">B9</f>
        <v>Helado 2 litros con Fruta</v>
      </c>
      <c r="C95" s="98" t="str">
        <f t="shared" si="37"/>
        <v>Balde 2 lt.</v>
      </c>
      <c r="D95" s="99">
        <f>O57</f>
        <v>-3554</v>
      </c>
      <c r="E95" s="123">
        <f>Productos!E36</f>
        <v>11450</v>
      </c>
      <c r="F95" s="124">
        <f t="shared" si="32"/>
        <v>-40693300</v>
      </c>
    </row>
    <row r="96" spans="1:15" ht="12.75" customHeight="1" x14ac:dyDescent="0.2">
      <c r="A96" s="97">
        <v>7</v>
      </c>
      <c r="B96" s="98" t="str">
        <f t="shared" ref="B96:C96" si="38">B10</f>
        <v>Helado 2 litros 2 sabores</v>
      </c>
      <c r="C96" s="98" t="str">
        <f t="shared" si="38"/>
        <v>Balde 2 lt.</v>
      </c>
      <c r="D96" s="99">
        <f>O64</f>
        <v>-3463</v>
      </c>
      <c r="E96" s="123">
        <f>Productos!E37</f>
        <v>7450</v>
      </c>
      <c r="F96" s="124">
        <f t="shared" si="32"/>
        <v>-25799350</v>
      </c>
    </row>
    <row r="97" spans="1:6" ht="12.75" customHeight="1" x14ac:dyDescent="0.2">
      <c r="A97" s="97">
        <v>8</v>
      </c>
      <c r="B97" s="98" t="str">
        <f t="shared" ref="B97:C97" si="39">B11</f>
        <v>Helado 1 litro liso</v>
      </c>
      <c r="C97" s="98" t="str">
        <f t="shared" si="39"/>
        <v>Vaso 1 lt.</v>
      </c>
      <c r="D97" s="99">
        <f>O71</f>
        <v>-3730</v>
      </c>
      <c r="E97" s="123">
        <f>Productos!E38</f>
        <v>3725</v>
      </c>
      <c r="F97" s="124">
        <f t="shared" si="32"/>
        <v>-13894250</v>
      </c>
    </row>
    <row r="98" spans="1:6" ht="12.75" customHeight="1" x14ac:dyDescent="0.2">
      <c r="A98" s="97">
        <v>9</v>
      </c>
      <c r="B98" s="98" t="str">
        <f t="shared" ref="B98:C98" si="40">B12</f>
        <v>Helado 1 litro con Fruta</v>
      </c>
      <c r="C98" s="98" t="str">
        <f t="shared" si="40"/>
        <v>Vaso 1 lt.</v>
      </c>
      <c r="D98" s="99">
        <f>O78</f>
        <v>-4224</v>
      </c>
      <c r="E98" s="123">
        <f>Productos!E39</f>
        <v>5725</v>
      </c>
      <c r="F98" s="124">
        <f t="shared" si="32"/>
        <v>-24182400</v>
      </c>
    </row>
    <row r="99" spans="1:6" ht="13.5" customHeight="1" x14ac:dyDescent="0.2">
      <c r="A99" s="101">
        <v>10</v>
      </c>
      <c r="B99" s="102" t="str">
        <f t="shared" ref="B99:C99" si="41">B13</f>
        <v>Helado 1 litro 2 sabores</v>
      </c>
      <c r="C99" s="102" t="str">
        <f t="shared" si="41"/>
        <v>Vaso 1 lt.</v>
      </c>
      <c r="D99" s="103">
        <f>O85</f>
        <v>-2894</v>
      </c>
      <c r="E99" s="125">
        <f>Productos!E40</f>
        <v>3725</v>
      </c>
      <c r="F99" s="126">
        <f t="shared" si="32"/>
        <v>-10780150</v>
      </c>
    </row>
    <row r="100" spans="1:6" ht="13.5" customHeight="1" x14ac:dyDescent="0.2">
      <c r="E100" s="127" t="s">
        <v>108</v>
      </c>
      <c r="F100" s="128">
        <f>SUM(F90:F99)</f>
        <v>-1247139560</v>
      </c>
    </row>
    <row r="101" spans="1:6" ht="12.75" customHeight="1" x14ac:dyDescent="0.2"/>
    <row r="102" spans="1:6" ht="12.75" customHeight="1" x14ac:dyDescent="0.2"/>
    <row r="103" spans="1:6" ht="12.75" customHeight="1" x14ac:dyDescent="0.2"/>
    <row r="104" spans="1:6" ht="12.75" customHeight="1" x14ac:dyDescent="0.2"/>
    <row r="105" spans="1:6" ht="12.75" customHeight="1" x14ac:dyDescent="0.2"/>
    <row r="106" spans="1:6" ht="12.75" customHeight="1" x14ac:dyDescent="0.2"/>
    <row r="107" spans="1:6" ht="12.75" customHeight="1" x14ac:dyDescent="0.2"/>
    <row r="108" spans="1:6" ht="12.75" customHeight="1" x14ac:dyDescent="0.2"/>
    <row r="109" spans="1:6" ht="12.75" customHeight="1" x14ac:dyDescent="0.2"/>
    <row r="110" spans="1:6" ht="12.75" customHeight="1" x14ac:dyDescent="0.2"/>
    <row r="111" spans="1:6" ht="12.75" customHeight="1" x14ac:dyDescent="0.2"/>
    <row r="112" spans="1:6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00"/>
  <sheetViews>
    <sheetView workbookViewId="0"/>
  </sheetViews>
  <sheetFormatPr baseColWidth="10" defaultColWidth="12.5703125" defaultRowHeight="15" customHeight="1" x14ac:dyDescent="0.2"/>
  <cols>
    <col min="1" max="1" width="3.5703125" customWidth="1"/>
    <col min="2" max="2" width="36.28515625" customWidth="1"/>
    <col min="3" max="3" width="7.7109375" customWidth="1"/>
    <col min="4" max="5" width="11.28515625" customWidth="1"/>
    <col min="6" max="6" width="12.85546875" customWidth="1"/>
    <col min="7" max="15" width="11.28515625" customWidth="1"/>
    <col min="16" max="26" width="10" customWidth="1"/>
  </cols>
  <sheetData>
    <row r="1" spans="1:16" ht="20.25" customHeight="1" x14ac:dyDescent="0.3">
      <c r="A1" s="6"/>
      <c r="M1" s="7" t="str">
        <f>Productos!G1</f>
        <v>Heladería DANG</v>
      </c>
    </row>
    <row r="2" spans="1:16" ht="12.75" customHeight="1" x14ac:dyDescent="0.2"/>
    <row r="3" spans="1:16" ht="13.5" customHeight="1" x14ac:dyDescent="0.2"/>
    <row r="4" spans="1:16" ht="26.25" customHeight="1" x14ac:dyDescent="0.2">
      <c r="A4" s="94" t="s">
        <v>53</v>
      </c>
      <c r="B4" s="95" t="s">
        <v>117</v>
      </c>
      <c r="C4" s="95" t="s">
        <v>55</v>
      </c>
      <c r="D4" s="95" t="str">
        <f>Ventas!C3</f>
        <v>Enero</v>
      </c>
      <c r="E4" s="95" t="str">
        <f>Ventas!D3</f>
        <v>Febrero</v>
      </c>
      <c r="F4" s="95" t="str">
        <f>Ventas!E3</f>
        <v>Marzo</v>
      </c>
      <c r="G4" s="95" t="str">
        <f>Ventas!F3</f>
        <v>Abril</v>
      </c>
      <c r="H4" s="95" t="str">
        <f>Ventas!G3</f>
        <v>Mayo</v>
      </c>
      <c r="I4" s="95" t="str">
        <f>Ventas!H3</f>
        <v>Junio</v>
      </c>
      <c r="J4" s="95" t="str">
        <f>Ventas!I3</f>
        <v>Julio</v>
      </c>
      <c r="K4" s="95" t="str">
        <f>Ventas!J3</f>
        <v>Agosto</v>
      </c>
      <c r="L4" s="95" t="str">
        <f>Ventas!K3</f>
        <v>Sept.</v>
      </c>
      <c r="M4" s="95" t="str">
        <f>Ventas!L3</f>
        <v>Oct.</v>
      </c>
      <c r="N4" s="95" t="str">
        <f>Ventas!M3</f>
        <v>Nov.</v>
      </c>
      <c r="O4" s="95" t="str">
        <f>Ventas!N3</f>
        <v>Dic.</v>
      </c>
      <c r="P4" s="96" t="s">
        <v>108</v>
      </c>
    </row>
    <row r="5" spans="1:16" ht="12.75" customHeight="1" x14ac:dyDescent="0.2">
      <c r="A5" s="97">
        <v>1</v>
      </c>
      <c r="B5" s="98" t="str">
        <f>Productos!B21</f>
        <v>Leche</v>
      </c>
      <c r="C5" s="98" t="str">
        <f>Productos!C21</f>
        <v>Litros</v>
      </c>
      <c r="D5" s="99">
        <f t="shared" ref="D5:O5" si="0">D25</f>
        <v>30000</v>
      </c>
      <c r="E5" s="99">
        <f t="shared" si="0"/>
        <v>30000</v>
      </c>
      <c r="F5" s="99">
        <f t="shared" si="0"/>
        <v>25000</v>
      </c>
      <c r="G5" s="99">
        <f t="shared" si="0"/>
        <v>15000</v>
      </c>
      <c r="H5" s="99">
        <f t="shared" si="0"/>
        <v>10000</v>
      </c>
      <c r="I5" s="99">
        <f t="shared" si="0"/>
        <v>12000</v>
      </c>
      <c r="J5" s="99">
        <f t="shared" si="0"/>
        <v>8000</v>
      </c>
      <c r="K5" s="99">
        <f t="shared" si="0"/>
        <v>8000</v>
      </c>
      <c r="L5" s="99">
        <f t="shared" si="0"/>
        <v>17000</v>
      </c>
      <c r="M5" s="99">
        <f t="shared" si="0"/>
        <v>25000</v>
      </c>
      <c r="N5" s="99">
        <f t="shared" si="0"/>
        <v>35000</v>
      </c>
      <c r="O5" s="99">
        <f t="shared" si="0"/>
        <v>35000</v>
      </c>
      <c r="P5" s="129">
        <f t="shared" ref="P5:P9" si="1">SUM(D5:O5)</f>
        <v>250000</v>
      </c>
    </row>
    <row r="6" spans="1:16" ht="12.75" customHeight="1" x14ac:dyDescent="0.2">
      <c r="A6" s="97">
        <v>2</v>
      </c>
      <c r="B6" s="98" t="str">
        <f>Productos!B22</f>
        <v>Crema</v>
      </c>
      <c r="C6" s="98" t="str">
        <f>Productos!C22</f>
        <v>Kilos</v>
      </c>
      <c r="D6" s="99">
        <f t="shared" ref="D6:O6" si="2">D32</f>
        <v>7000</v>
      </c>
      <c r="E6" s="99">
        <f t="shared" si="2"/>
        <v>7000</v>
      </c>
      <c r="F6" s="99">
        <f t="shared" si="2"/>
        <v>6000</v>
      </c>
      <c r="G6" s="99">
        <f t="shared" si="2"/>
        <v>4000</v>
      </c>
      <c r="H6" s="99">
        <f t="shared" si="2"/>
        <v>3000</v>
      </c>
      <c r="I6" s="99">
        <f t="shared" si="2"/>
        <v>3000</v>
      </c>
      <c r="J6" s="99">
        <f t="shared" si="2"/>
        <v>2000</v>
      </c>
      <c r="K6" s="99">
        <f t="shared" si="2"/>
        <v>3000</v>
      </c>
      <c r="L6" s="99">
        <f t="shared" si="2"/>
        <v>4000</v>
      </c>
      <c r="M6" s="99">
        <f t="shared" si="2"/>
        <v>6000</v>
      </c>
      <c r="N6" s="99">
        <f t="shared" si="2"/>
        <v>8000</v>
      </c>
      <c r="O6" s="99">
        <f t="shared" si="2"/>
        <v>7000</v>
      </c>
      <c r="P6" s="129">
        <f t="shared" si="1"/>
        <v>60000</v>
      </c>
    </row>
    <row r="7" spans="1:16" ht="12.75" customHeight="1" x14ac:dyDescent="0.2">
      <c r="A7" s="97">
        <v>3</v>
      </c>
      <c r="B7" s="98" t="str">
        <f>Productos!B23</f>
        <v>Azucar</v>
      </c>
      <c r="C7" s="98" t="str">
        <f>Productos!C23</f>
        <v>Kilos</v>
      </c>
      <c r="D7" s="99">
        <f t="shared" ref="D7:O7" si="3">D39</f>
        <v>15000</v>
      </c>
      <c r="E7" s="99">
        <f t="shared" si="3"/>
        <v>16000</v>
      </c>
      <c r="F7" s="99">
        <f t="shared" si="3"/>
        <v>12000</v>
      </c>
      <c r="G7" s="99">
        <f t="shared" si="3"/>
        <v>9000</v>
      </c>
      <c r="H7" s="99">
        <f t="shared" si="3"/>
        <v>7000</v>
      </c>
      <c r="I7" s="99">
        <f t="shared" si="3"/>
        <v>15000</v>
      </c>
      <c r="J7" s="99">
        <f t="shared" si="3"/>
        <v>0</v>
      </c>
      <c r="K7" s="99">
        <f t="shared" si="3"/>
        <v>15000</v>
      </c>
      <c r="L7" s="99">
        <f t="shared" si="3"/>
        <v>0</v>
      </c>
      <c r="M7" s="99">
        <f t="shared" si="3"/>
        <v>15000</v>
      </c>
      <c r="N7" s="99">
        <f t="shared" si="3"/>
        <v>15000</v>
      </c>
      <c r="O7" s="99">
        <f t="shared" si="3"/>
        <v>13000</v>
      </c>
      <c r="P7" s="129">
        <f t="shared" si="1"/>
        <v>132000</v>
      </c>
    </row>
    <row r="8" spans="1:16" ht="12.75" customHeight="1" x14ac:dyDescent="0.2">
      <c r="A8" s="97">
        <v>4</v>
      </c>
      <c r="B8" s="98" t="str">
        <f>Productos!B24</f>
        <v>Frutas y secos</v>
      </c>
      <c r="C8" s="98" t="str">
        <f>Productos!C24</f>
        <v>Kilos</v>
      </c>
      <c r="D8" s="99">
        <f t="shared" ref="D8:O8" si="4">D46</f>
        <v>3000</v>
      </c>
      <c r="E8" s="99">
        <f t="shared" si="4"/>
        <v>3000</v>
      </c>
      <c r="F8" s="99">
        <f t="shared" si="4"/>
        <v>2000</v>
      </c>
      <c r="G8" s="99">
        <f t="shared" si="4"/>
        <v>2500</v>
      </c>
      <c r="H8" s="99">
        <f t="shared" si="4"/>
        <v>0</v>
      </c>
      <c r="I8" s="99">
        <f t="shared" si="4"/>
        <v>1000</v>
      </c>
      <c r="J8" s="99">
        <f t="shared" si="4"/>
        <v>1000</v>
      </c>
      <c r="K8" s="99">
        <f t="shared" si="4"/>
        <v>1000</v>
      </c>
      <c r="L8" s="99">
        <f t="shared" si="4"/>
        <v>2000</v>
      </c>
      <c r="M8" s="99">
        <f t="shared" si="4"/>
        <v>2000</v>
      </c>
      <c r="N8" s="99">
        <f t="shared" si="4"/>
        <v>3000</v>
      </c>
      <c r="O8" s="99">
        <f t="shared" si="4"/>
        <v>3000</v>
      </c>
      <c r="P8" s="129">
        <f t="shared" si="1"/>
        <v>23500</v>
      </c>
    </row>
    <row r="9" spans="1:16" ht="13.5" customHeight="1" x14ac:dyDescent="0.2">
      <c r="A9" s="101">
        <v>5</v>
      </c>
      <c r="B9" s="102" t="str">
        <f>Productos!B25</f>
        <v>Otros</v>
      </c>
      <c r="C9" s="102" t="str">
        <f>Productos!C25</f>
        <v>Pesos</v>
      </c>
      <c r="D9" s="103">
        <f t="shared" ref="D9:O9" si="5">D53</f>
        <v>40000</v>
      </c>
      <c r="E9" s="103">
        <f t="shared" si="5"/>
        <v>0</v>
      </c>
      <c r="F9" s="103">
        <f t="shared" si="5"/>
        <v>60000</v>
      </c>
      <c r="G9" s="103">
        <f t="shared" si="5"/>
        <v>0</v>
      </c>
      <c r="H9" s="103">
        <f t="shared" si="5"/>
        <v>0</v>
      </c>
      <c r="I9" s="103">
        <f t="shared" si="5"/>
        <v>0</v>
      </c>
      <c r="J9" s="103">
        <f t="shared" si="5"/>
        <v>0</v>
      </c>
      <c r="K9" s="103">
        <f t="shared" si="5"/>
        <v>0</v>
      </c>
      <c r="L9" s="103">
        <f t="shared" si="5"/>
        <v>0</v>
      </c>
      <c r="M9" s="103">
        <f t="shared" si="5"/>
        <v>0</v>
      </c>
      <c r="N9" s="103">
        <f t="shared" si="5"/>
        <v>20000</v>
      </c>
      <c r="O9" s="103">
        <f t="shared" si="5"/>
        <v>10000</v>
      </c>
      <c r="P9" s="130">
        <f t="shared" si="1"/>
        <v>130000</v>
      </c>
    </row>
    <row r="10" spans="1:16" ht="12.75" customHeight="1" x14ac:dyDescent="0.2"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1:16" ht="13.5" customHeight="1" x14ac:dyDescent="0.2"/>
    <row r="12" spans="1:16" ht="26.25" customHeight="1" x14ac:dyDescent="0.2">
      <c r="A12" s="94" t="s">
        <v>53</v>
      </c>
      <c r="B12" s="95" t="s">
        <v>118</v>
      </c>
      <c r="C12" s="95" t="s">
        <v>55</v>
      </c>
      <c r="D12" s="95" t="str">
        <f>Ventas!C3</f>
        <v>Enero</v>
      </c>
      <c r="E12" s="95" t="str">
        <f>Ventas!D3</f>
        <v>Febrero</v>
      </c>
      <c r="F12" s="95" t="str">
        <f>Ventas!E3</f>
        <v>Marzo</v>
      </c>
      <c r="G12" s="95" t="str">
        <f>Ventas!F3</f>
        <v>Abril</v>
      </c>
      <c r="H12" s="95" t="str">
        <f>Ventas!G3</f>
        <v>Mayo</v>
      </c>
      <c r="I12" s="95" t="str">
        <f>Ventas!H3</f>
        <v>Junio</v>
      </c>
      <c r="J12" s="95" t="str">
        <f>Ventas!I3</f>
        <v>Julio</v>
      </c>
      <c r="K12" s="95" t="str">
        <f>Ventas!J3</f>
        <v>Agosto</v>
      </c>
      <c r="L12" s="95" t="str">
        <f>Ventas!K3</f>
        <v>Sept.</v>
      </c>
      <c r="M12" s="95" t="str">
        <f>Ventas!L3</f>
        <v>Oct.</v>
      </c>
      <c r="N12" s="95" t="str">
        <f>Ventas!M3</f>
        <v>Nov.</v>
      </c>
      <c r="O12" s="95" t="str">
        <f>Ventas!N3</f>
        <v>Dic.</v>
      </c>
      <c r="P12" s="96" t="s">
        <v>108</v>
      </c>
    </row>
    <row r="13" spans="1:16" ht="12.75" customHeight="1" x14ac:dyDescent="0.2">
      <c r="A13" s="97">
        <v>1</v>
      </c>
      <c r="B13" s="98" t="str">
        <f>Productos!B21</f>
        <v>Leche</v>
      </c>
      <c r="C13" s="98"/>
      <c r="D13" s="132">
        <f>D5*Productos!$D21</f>
        <v>54000000</v>
      </c>
      <c r="E13" s="132">
        <f>E5*Productos!$D21</f>
        <v>54000000</v>
      </c>
      <c r="F13" s="132">
        <f>F5*Productos!$D21</f>
        <v>45000000</v>
      </c>
      <c r="G13" s="132">
        <f>G5*Productos!$D21</f>
        <v>27000000</v>
      </c>
      <c r="H13" s="132">
        <f>H5*Productos!$D21</f>
        <v>18000000</v>
      </c>
      <c r="I13" s="132">
        <f>I5*Productos!$D21</f>
        <v>21600000</v>
      </c>
      <c r="J13" s="132">
        <f>J5*Productos!$D21</f>
        <v>14400000</v>
      </c>
      <c r="K13" s="132">
        <f>K5*Productos!$D21</f>
        <v>14400000</v>
      </c>
      <c r="L13" s="132">
        <f>L5*Productos!$D21</f>
        <v>30600000</v>
      </c>
      <c r="M13" s="132">
        <f>M5*Productos!$D21</f>
        <v>45000000</v>
      </c>
      <c r="N13" s="132">
        <f>N5*Productos!$D21</f>
        <v>63000000</v>
      </c>
      <c r="O13" s="132">
        <f>O5*Productos!$D21</f>
        <v>63000000</v>
      </c>
      <c r="P13" s="133">
        <f t="shared" ref="P13:P17" si="6">SUM(D13:O13)</f>
        <v>450000000</v>
      </c>
    </row>
    <row r="14" spans="1:16" ht="12.75" customHeight="1" x14ac:dyDescent="0.2">
      <c r="A14" s="97">
        <v>2</v>
      </c>
      <c r="B14" s="98" t="str">
        <f>Productos!B22</f>
        <v>Crema</v>
      </c>
      <c r="C14" s="98"/>
      <c r="D14" s="132">
        <f>D6*Productos!$D22</f>
        <v>31500000</v>
      </c>
      <c r="E14" s="132">
        <f>E6*Productos!$D22</f>
        <v>31500000</v>
      </c>
      <c r="F14" s="132">
        <f>F6*Productos!$D22</f>
        <v>27000000</v>
      </c>
      <c r="G14" s="132">
        <f>G6*Productos!$D22</f>
        <v>18000000</v>
      </c>
      <c r="H14" s="132">
        <f>H6*Productos!$D22</f>
        <v>13500000</v>
      </c>
      <c r="I14" s="132">
        <f>I6*Productos!$D22</f>
        <v>13500000</v>
      </c>
      <c r="J14" s="132">
        <f>J6*Productos!$D22</f>
        <v>9000000</v>
      </c>
      <c r="K14" s="132">
        <f>K6*Productos!$D22</f>
        <v>13500000</v>
      </c>
      <c r="L14" s="132">
        <f>L6*Productos!$D22</f>
        <v>18000000</v>
      </c>
      <c r="M14" s="132">
        <f>M6*Productos!$D22</f>
        <v>27000000</v>
      </c>
      <c r="N14" s="132">
        <f>N6*Productos!$D22</f>
        <v>36000000</v>
      </c>
      <c r="O14" s="132">
        <f>O6*Productos!$D22</f>
        <v>31500000</v>
      </c>
      <c r="P14" s="133">
        <f t="shared" si="6"/>
        <v>270000000</v>
      </c>
    </row>
    <row r="15" spans="1:16" ht="12.75" customHeight="1" x14ac:dyDescent="0.2">
      <c r="A15" s="97">
        <v>3</v>
      </c>
      <c r="B15" s="98" t="str">
        <f>Productos!B23</f>
        <v>Azucar</v>
      </c>
      <c r="C15" s="98"/>
      <c r="D15" s="132">
        <f>D7*Productos!$D23</f>
        <v>22500000</v>
      </c>
      <c r="E15" s="132">
        <f>E7*Productos!$D23</f>
        <v>24000000</v>
      </c>
      <c r="F15" s="132">
        <f>F7*Productos!$D23</f>
        <v>18000000</v>
      </c>
      <c r="G15" s="132">
        <f>G7*Productos!$D23</f>
        <v>13500000</v>
      </c>
      <c r="H15" s="132">
        <f>H7*Productos!$D23</f>
        <v>10500000</v>
      </c>
      <c r="I15" s="132">
        <f>I7*Productos!$D23</f>
        <v>22500000</v>
      </c>
      <c r="J15" s="132">
        <f>J7*Productos!$D23</f>
        <v>0</v>
      </c>
      <c r="K15" s="132">
        <f>K7*Productos!$D23</f>
        <v>22500000</v>
      </c>
      <c r="L15" s="132">
        <f>L7*Productos!$D23</f>
        <v>0</v>
      </c>
      <c r="M15" s="132">
        <f>M7*Productos!$D23</f>
        <v>22500000</v>
      </c>
      <c r="N15" s="132">
        <f>N7*Productos!$D23</f>
        <v>22500000</v>
      </c>
      <c r="O15" s="132">
        <f>O7*Productos!$D23</f>
        <v>19500000</v>
      </c>
      <c r="P15" s="133">
        <f t="shared" si="6"/>
        <v>198000000</v>
      </c>
    </row>
    <row r="16" spans="1:16" ht="12.75" customHeight="1" x14ac:dyDescent="0.2">
      <c r="A16" s="97">
        <v>4</v>
      </c>
      <c r="B16" s="98" t="str">
        <f>Productos!B24</f>
        <v>Frutas y secos</v>
      </c>
      <c r="C16" s="98"/>
      <c r="D16" s="132">
        <f>D8*Productos!$D24</f>
        <v>24000000</v>
      </c>
      <c r="E16" s="132">
        <f>E8*Productos!$D24</f>
        <v>24000000</v>
      </c>
      <c r="F16" s="132">
        <f>F8*Productos!$D24</f>
        <v>16000000</v>
      </c>
      <c r="G16" s="132">
        <f>G8*Productos!$D24</f>
        <v>20000000</v>
      </c>
      <c r="H16" s="132">
        <f>H8*Productos!$D24</f>
        <v>0</v>
      </c>
      <c r="I16" s="132">
        <f>I8*Productos!$D24</f>
        <v>8000000</v>
      </c>
      <c r="J16" s="132">
        <f>J8*Productos!$D24</f>
        <v>8000000</v>
      </c>
      <c r="K16" s="132">
        <f>K8*Productos!$D24</f>
        <v>8000000</v>
      </c>
      <c r="L16" s="132">
        <f>L8*Productos!$D24</f>
        <v>16000000</v>
      </c>
      <c r="M16" s="132">
        <f>M8*Productos!$D24</f>
        <v>16000000</v>
      </c>
      <c r="N16" s="132">
        <f>N8*Productos!$D24</f>
        <v>24000000</v>
      </c>
      <c r="O16" s="132">
        <f>O8*Productos!$D24</f>
        <v>24000000</v>
      </c>
      <c r="P16" s="133">
        <f t="shared" si="6"/>
        <v>188000000</v>
      </c>
    </row>
    <row r="17" spans="1:16" ht="13.5" customHeight="1" x14ac:dyDescent="0.2">
      <c r="A17" s="134">
        <v>5</v>
      </c>
      <c r="B17" s="135" t="str">
        <f>Productos!B25</f>
        <v>Otros</v>
      </c>
      <c r="C17" s="135"/>
      <c r="D17" s="136">
        <f>D9*Productos!$D25</f>
        <v>200000000</v>
      </c>
      <c r="E17" s="136">
        <f>E9*Productos!$D25</f>
        <v>0</v>
      </c>
      <c r="F17" s="136">
        <f>F9*Productos!$D25</f>
        <v>300000000</v>
      </c>
      <c r="G17" s="136">
        <f>G9*Productos!$D25</f>
        <v>0</v>
      </c>
      <c r="H17" s="136">
        <f>H9*Productos!$D25</f>
        <v>0</v>
      </c>
      <c r="I17" s="136">
        <f>I9*Productos!$D25</f>
        <v>0</v>
      </c>
      <c r="J17" s="136">
        <f>J9*Productos!$D25</f>
        <v>0</v>
      </c>
      <c r="K17" s="136">
        <f>K9*Productos!$D25</f>
        <v>0</v>
      </c>
      <c r="L17" s="136">
        <f>L9*Productos!$D25</f>
        <v>0</v>
      </c>
      <c r="M17" s="136">
        <f>M9*Productos!$D25</f>
        <v>0</v>
      </c>
      <c r="N17" s="136">
        <f>N9*Productos!$D25</f>
        <v>100000000</v>
      </c>
      <c r="O17" s="136">
        <f>O9*Productos!$D25</f>
        <v>50000000</v>
      </c>
      <c r="P17" s="137">
        <f t="shared" si="6"/>
        <v>650000000</v>
      </c>
    </row>
    <row r="18" spans="1:16" ht="14.25" customHeight="1" x14ac:dyDescent="0.2">
      <c r="A18" s="25"/>
      <c r="B18" s="26"/>
      <c r="C18" s="26"/>
      <c r="D18" s="138">
        <f t="shared" ref="D18:P18" si="7">SUM(D13:D17)</f>
        <v>332000000</v>
      </c>
      <c r="E18" s="138">
        <f t="shared" si="7"/>
        <v>133500000</v>
      </c>
      <c r="F18" s="138">
        <f t="shared" si="7"/>
        <v>406000000</v>
      </c>
      <c r="G18" s="138">
        <f t="shared" si="7"/>
        <v>78500000</v>
      </c>
      <c r="H18" s="138">
        <f t="shared" si="7"/>
        <v>42000000</v>
      </c>
      <c r="I18" s="138">
        <f t="shared" si="7"/>
        <v>65600000</v>
      </c>
      <c r="J18" s="138">
        <f t="shared" si="7"/>
        <v>31400000</v>
      </c>
      <c r="K18" s="138">
        <f t="shared" si="7"/>
        <v>58400000</v>
      </c>
      <c r="L18" s="138">
        <f t="shared" si="7"/>
        <v>64600000</v>
      </c>
      <c r="M18" s="138">
        <f t="shared" si="7"/>
        <v>110500000</v>
      </c>
      <c r="N18" s="138">
        <f t="shared" si="7"/>
        <v>245500000</v>
      </c>
      <c r="O18" s="138">
        <f t="shared" si="7"/>
        <v>188000000</v>
      </c>
      <c r="P18" s="139">
        <f t="shared" si="7"/>
        <v>1756000000</v>
      </c>
    </row>
    <row r="19" spans="1:16" ht="12.75" customHeight="1" x14ac:dyDescent="0.2"/>
    <row r="20" spans="1:16" ht="12.75" customHeight="1" x14ac:dyDescent="0.2"/>
    <row r="21" spans="1:16" ht="12.75" customHeight="1" x14ac:dyDescent="0.2"/>
    <row r="22" spans="1:16" ht="13.5" customHeight="1" x14ac:dyDescent="0.2"/>
    <row r="23" spans="1:16" ht="26.25" customHeight="1" x14ac:dyDescent="0.2">
      <c r="A23" s="140"/>
      <c r="B23" s="94" t="str">
        <f>"Plan de Compras de "&amp;Consumos!B95</f>
        <v>Plan de Compras de Leche</v>
      </c>
      <c r="C23" s="95" t="s">
        <v>55</v>
      </c>
      <c r="D23" s="95" t="str">
        <f>Consumos!D94</f>
        <v>Enero</v>
      </c>
      <c r="E23" s="95" t="str">
        <f>Consumos!E94</f>
        <v>Febrero</v>
      </c>
      <c r="F23" s="95" t="str">
        <f>Consumos!F94</f>
        <v>Marzo</v>
      </c>
      <c r="G23" s="95" t="str">
        <f>Consumos!G94</f>
        <v>Abril</v>
      </c>
      <c r="H23" s="95" t="str">
        <f>Consumos!H94</f>
        <v>Mayo</v>
      </c>
      <c r="I23" s="95" t="str">
        <f>Consumos!I94</f>
        <v>Junio</v>
      </c>
      <c r="J23" s="95" t="str">
        <f>Consumos!J94</f>
        <v>Julio</v>
      </c>
      <c r="K23" s="95" t="str">
        <f>Consumos!K94</f>
        <v>Agosto</v>
      </c>
      <c r="L23" s="95" t="str">
        <f>Consumos!L94</f>
        <v>Sept.</v>
      </c>
      <c r="M23" s="95" t="str">
        <f>Consumos!M94</f>
        <v>Oct.</v>
      </c>
      <c r="N23" s="95" t="str">
        <f>Consumos!N94</f>
        <v>Nov.</v>
      </c>
      <c r="O23" s="96" t="str">
        <f>Consumos!O94</f>
        <v>Dic.</v>
      </c>
      <c r="P23" s="107"/>
    </row>
    <row r="24" spans="1:16" ht="13.5" customHeight="1" x14ac:dyDescent="0.2">
      <c r="B24" s="17" t="s">
        <v>109</v>
      </c>
      <c r="C24" s="141" t="str">
        <f>Consumos!C95</f>
        <v>Litros</v>
      </c>
      <c r="D24" s="108">
        <v>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09"/>
    </row>
    <row r="25" spans="1:16" ht="14.25" customHeight="1" x14ac:dyDescent="0.2">
      <c r="B25" s="110" t="str">
        <f>"Compras de "&amp;Consumos!B95</f>
        <v>Compras de Leche</v>
      </c>
      <c r="C25" s="142" t="str">
        <f t="shared" ref="C25:C27" si="8">C24</f>
        <v>Litros</v>
      </c>
      <c r="D25" s="112">
        <v>30000</v>
      </c>
      <c r="E25" s="112">
        <v>30000</v>
      </c>
      <c r="F25" s="112">
        <v>25000</v>
      </c>
      <c r="G25" s="112">
        <v>15000</v>
      </c>
      <c r="H25" s="112">
        <v>10000</v>
      </c>
      <c r="I25" s="112">
        <v>12000</v>
      </c>
      <c r="J25" s="112">
        <v>8000</v>
      </c>
      <c r="K25" s="112">
        <v>8000</v>
      </c>
      <c r="L25" s="112">
        <v>17000</v>
      </c>
      <c r="M25" s="112">
        <v>25000</v>
      </c>
      <c r="N25" s="112">
        <v>35000</v>
      </c>
      <c r="O25" s="113">
        <v>35000</v>
      </c>
    </row>
    <row r="26" spans="1:16" ht="13.5" customHeight="1" x14ac:dyDescent="0.2">
      <c r="B26" s="114" t="s">
        <v>119</v>
      </c>
      <c r="C26" s="115" t="str">
        <f t="shared" si="8"/>
        <v>Litros</v>
      </c>
      <c r="D26" s="116">
        <f>Consumos!D95</f>
        <v>30195</v>
      </c>
      <c r="E26" s="116">
        <f>Consumos!E95</f>
        <v>28045</v>
      </c>
      <c r="F26" s="116">
        <f>Consumos!F95</f>
        <v>23375</v>
      </c>
      <c r="G26" s="116">
        <f>Consumos!G95</f>
        <v>15460</v>
      </c>
      <c r="H26" s="116">
        <f>Consumos!H95</f>
        <v>12190</v>
      </c>
      <c r="I26" s="116">
        <f>Consumos!I95</f>
        <v>11465</v>
      </c>
      <c r="J26" s="116">
        <f>Consumos!J95</f>
        <v>8525</v>
      </c>
      <c r="K26" s="116">
        <f>Consumos!K95</f>
        <v>8450</v>
      </c>
      <c r="L26" s="116">
        <f>Consumos!L95</f>
        <v>16810</v>
      </c>
      <c r="M26" s="116">
        <f>Consumos!M95</f>
        <v>25440</v>
      </c>
      <c r="N26" s="116">
        <f>Consumos!N95</f>
        <v>32340</v>
      </c>
      <c r="O26" s="143">
        <f>Consumos!O95</f>
        <v>30772</v>
      </c>
    </row>
    <row r="27" spans="1:16" ht="13.5" customHeight="1" x14ac:dyDescent="0.2">
      <c r="B27" s="118" t="s">
        <v>112</v>
      </c>
      <c r="C27" s="119" t="str">
        <f t="shared" si="8"/>
        <v>Litros</v>
      </c>
      <c r="D27" s="120">
        <f>D24+D25-D26</f>
        <v>-195</v>
      </c>
      <c r="E27" s="120">
        <f t="shared" ref="E27:O27" si="9">D27+E25-E26</f>
        <v>1760</v>
      </c>
      <c r="F27" s="120">
        <f t="shared" si="9"/>
        <v>3385</v>
      </c>
      <c r="G27" s="120">
        <f t="shared" si="9"/>
        <v>2925</v>
      </c>
      <c r="H27" s="120">
        <f t="shared" si="9"/>
        <v>735</v>
      </c>
      <c r="I27" s="120">
        <f t="shared" si="9"/>
        <v>1270</v>
      </c>
      <c r="J27" s="120">
        <f t="shared" si="9"/>
        <v>745</v>
      </c>
      <c r="K27" s="120">
        <f t="shared" si="9"/>
        <v>295</v>
      </c>
      <c r="L27" s="120">
        <f t="shared" si="9"/>
        <v>485</v>
      </c>
      <c r="M27" s="120">
        <f t="shared" si="9"/>
        <v>45</v>
      </c>
      <c r="N27" s="120">
        <f t="shared" si="9"/>
        <v>2705</v>
      </c>
      <c r="O27" s="121">
        <f t="shared" si="9"/>
        <v>6933</v>
      </c>
    </row>
    <row r="28" spans="1:16" ht="12.75" customHeight="1" x14ac:dyDescent="0.2"/>
    <row r="29" spans="1:16" ht="13.5" customHeight="1" x14ac:dyDescent="0.2"/>
    <row r="30" spans="1:16" ht="26.25" customHeight="1" x14ac:dyDescent="0.2">
      <c r="B30" s="94" t="str">
        <f>"Plan de Compras de "&amp;Consumos!B96</f>
        <v>Plan de Compras de Crema</v>
      </c>
      <c r="C30" s="95" t="s">
        <v>55</v>
      </c>
      <c r="D30" s="95" t="str">
        <f>Consumos!D94</f>
        <v>Enero</v>
      </c>
      <c r="E30" s="95" t="str">
        <f>Consumos!E94</f>
        <v>Febrero</v>
      </c>
      <c r="F30" s="95" t="str">
        <f>Consumos!F94</f>
        <v>Marzo</v>
      </c>
      <c r="G30" s="95" t="str">
        <f>Consumos!G94</f>
        <v>Abril</v>
      </c>
      <c r="H30" s="95" t="str">
        <f>Consumos!H94</f>
        <v>Mayo</v>
      </c>
      <c r="I30" s="95" t="str">
        <f>Consumos!I94</f>
        <v>Junio</v>
      </c>
      <c r="J30" s="95" t="str">
        <f>Consumos!J94</f>
        <v>Julio</v>
      </c>
      <c r="K30" s="95" t="str">
        <f>Consumos!K94</f>
        <v>Agosto</v>
      </c>
      <c r="L30" s="95" t="str">
        <f>Consumos!L94</f>
        <v>Sept.</v>
      </c>
      <c r="M30" s="95" t="str">
        <f>Consumos!M94</f>
        <v>Oct.</v>
      </c>
      <c r="N30" s="95" t="str">
        <f>Consumos!N94</f>
        <v>Nov.</v>
      </c>
      <c r="O30" s="96" t="str">
        <f>Consumos!O94</f>
        <v>Dic.</v>
      </c>
    </row>
    <row r="31" spans="1:16" ht="13.5" customHeight="1" x14ac:dyDescent="0.2">
      <c r="B31" s="17" t="s">
        <v>109</v>
      </c>
      <c r="C31" s="115" t="str">
        <f>Consumos!C96</f>
        <v>Kilos</v>
      </c>
      <c r="D31" s="108">
        <v>0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09"/>
    </row>
    <row r="32" spans="1:16" ht="14.25" customHeight="1" x14ac:dyDescent="0.2">
      <c r="B32" s="110" t="str">
        <f>"Compras de "&amp;Consumos!B96</f>
        <v>Compras de Crema</v>
      </c>
      <c r="C32" s="144" t="str">
        <f t="shared" ref="C32:C34" si="10">C31</f>
        <v>Kilos</v>
      </c>
      <c r="D32" s="112">
        <v>7000</v>
      </c>
      <c r="E32" s="112">
        <v>7000</v>
      </c>
      <c r="F32" s="112">
        <v>6000</v>
      </c>
      <c r="G32" s="112">
        <v>4000</v>
      </c>
      <c r="H32" s="112">
        <v>3000</v>
      </c>
      <c r="I32" s="112">
        <v>3000</v>
      </c>
      <c r="J32" s="112">
        <v>2000</v>
      </c>
      <c r="K32" s="112">
        <v>3000</v>
      </c>
      <c r="L32" s="112">
        <v>4000</v>
      </c>
      <c r="M32" s="112">
        <v>6000</v>
      </c>
      <c r="N32" s="112">
        <v>8000</v>
      </c>
      <c r="O32" s="113">
        <v>7000</v>
      </c>
    </row>
    <row r="33" spans="2:15" ht="13.5" customHeight="1" x14ac:dyDescent="0.2">
      <c r="B33" s="114" t="s">
        <v>119</v>
      </c>
      <c r="C33" s="115" t="str">
        <f t="shared" si="10"/>
        <v>Kilos</v>
      </c>
      <c r="D33" s="116">
        <f>Consumos!D96</f>
        <v>7125</v>
      </c>
      <c r="E33" s="116">
        <f>Consumos!E96</f>
        <v>6675</v>
      </c>
      <c r="F33" s="116">
        <f>Consumos!F96</f>
        <v>5675</v>
      </c>
      <c r="G33" s="116">
        <f>Consumos!G96</f>
        <v>3750</v>
      </c>
      <c r="H33" s="116">
        <f>Consumos!H96</f>
        <v>3100</v>
      </c>
      <c r="I33" s="116">
        <f>Consumos!I96</f>
        <v>2950</v>
      </c>
      <c r="J33" s="116">
        <f>Consumos!J96</f>
        <v>2575</v>
      </c>
      <c r="K33" s="116">
        <f>Consumos!K96</f>
        <v>2550</v>
      </c>
      <c r="L33" s="116">
        <f>Consumos!L96</f>
        <v>4250</v>
      </c>
      <c r="M33" s="116">
        <f>Consumos!M96</f>
        <v>6000</v>
      </c>
      <c r="N33" s="116">
        <f>Consumos!N96</f>
        <v>7375</v>
      </c>
      <c r="O33" s="117">
        <f>Consumos!O96</f>
        <v>7023</v>
      </c>
    </row>
    <row r="34" spans="2:15" ht="13.5" customHeight="1" x14ac:dyDescent="0.2">
      <c r="B34" s="118" t="s">
        <v>112</v>
      </c>
      <c r="C34" s="119" t="str">
        <f t="shared" si="10"/>
        <v>Kilos</v>
      </c>
      <c r="D34" s="120">
        <f>D31+D32-D33</f>
        <v>-125</v>
      </c>
      <c r="E34" s="120">
        <f t="shared" ref="E34:O34" si="11">D34+E32-E33</f>
        <v>200</v>
      </c>
      <c r="F34" s="120">
        <f t="shared" si="11"/>
        <v>525</v>
      </c>
      <c r="G34" s="120">
        <f t="shared" si="11"/>
        <v>775</v>
      </c>
      <c r="H34" s="120">
        <f t="shared" si="11"/>
        <v>675</v>
      </c>
      <c r="I34" s="120">
        <f t="shared" si="11"/>
        <v>725</v>
      </c>
      <c r="J34" s="120">
        <f t="shared" si="11"/>
        <v>150</v>
      </c>
      <c r="K34" s="120">
        <f t="shared" si="11"/>
        <v>600</v>
      </c>
      <c r="L34" s="120">
        <f t="shared" si="11"/>
        <v>350</v>
      </c>
      <c r="M34" s="120">
        <f t="shared" si="11"/>
        <v>350</v>
      </c>
      <c r="N34" s="120">
        <f t="shared" si="11"/>
        <v>975</v>
      </c>
      <c r="O34" s="121">
        <f t="shared" si="11"/>
        <v>952</v>
      </c>
    </row>
    <row r="35" spans="2:15" ht="12.75" customHeight="1" x14ac:dyDescent="0.2"/>
    <row r="36" spans="2:15" ht="13.5" customHeight="1" x14ac:dyDescent="0.2"/>
    <row r="37" spans="2:15" ht="26.25" customHeight="1" x14ac:dyDescent="0.2">
      <c r="B37" s="94" t="str">
        <f>"Plan de Compras de "&amp;Consumos!B97</f>
        <v>Plan de Compras de Azucar</v>
      </c>
      <c r="C37" s="95" t="s">
        <v>55</v>
      </c>
      <c r="D37" s="95" t="str">
        <f>Consumos!D94</f>
        <v>Enero</v>
      </c>
      <c r="E37" s="95" t="str">
        <f>Consumos!E94</f>
        <v>Febrero</v>
      </c>
      <c r="F37" s="95" t="str">
        <f>Consumos!F94</f>
        <v>Marzo</v>
      </c>
      <c r="G37" s="95" t="str">
        <f>Consumos!G94</f>
        <v>Abril</v>
      </c>
      <c r="H37" s="95" t="str">
        <f>Consumos!H94</f>
        <v>Mayo</v>
      </c>
      <c r="I37" s="95" t="str">
        <f>Consumos!I94</f>
        <v>Junio</v>
      </c>
      <c r="J37" s="95" t="str">
        <f>Consumos!J94</f>
        <v>Julio</v>
      </c>
      <c r="K37" s="95" t="str">
        <f>Consumos!K94</f>
        <v>Agosto</v>
      </c>
      <c r="L37" s="95" t="str">
        <f>Consumos!L94</f>
        <v>Sept.</v>
      </c>
      <c r="M37" s="95" t="str">
        <f>Consumos!M94</f>
        <v>Oct.</v>
      </c>
      <c r="N37" s="95" t="str">
        <f>Consumos!N94</f>
        <v>Nov.</v>
      </c>
      <c r="O37" s="96" t="str">
        <f>Consumos!O94</f>
        <v>Dic.</v>
      </c>
    </row>
    <row r="38" spans="2:15" ht="13.5" customHeight="1" x14ac:dyDescent="0.2">
      <c r="B38" s="17" t="s">
        <v>109</v>
      </c>
      <c r="C38" s="115" t="str">
        <f>Consumos!C97</f>
        <v>Kilos</v>
      </c>
      <c r="D38" s="122">
        <v>0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09"/>
    </row>
    <row r="39" spans="2:15" ht="14.25" customHeight="1" x14ac:dyDescent="0.2">
      <c r="B39" s="110" t="str">
        <f>"Compras de "&amp;Consumos!B97</f>
        <v>Compras de Azucar</v>
      </c>
      <c r="C39" s="144" t="str">
        <f t="shared" ref="C39:C41" si="12">C38</f>
        <v>Kilos</v>
      </c>
      <c r="D39" s="112">
        <v>15000</v>
      </c>
      <c r="E39" s="112">
        <v>16000</v>
      </c>
      <c r="F39" s="112">
        <v>12000</v>
      </c>
      <c r="G39" s="112">
        <v>9000</v>
      </c>
      <c r="H39" s="112">
        <v>7000</v>
      </c>
      <c r="I39" s="112">
        <v>15000</v>
      </c>
      <c r="J39" s="112">
        <v>0</v>
      </c>
      <c r="K39" s="112">
        <v>15000</v>
      </c>
      <c r="L39" s="112">
        <v>0</v>
      </c>
      <c r="M39" s="112">
        <v>15000</v>
      </c>
      <c r="N39" s="112">
        <v>15000</v>
      </c>
      <c r="O39" s="113">
        <v>13000</v>
      </c>
    </row>
    <row r="40" spans="2:15" ht="13.5" customHeight="1" x14ac:dyDescent="0.2">
      <c r="B40" s="114" t="s">
        <v>119</v>
      </c>
      <c r="C40" s="115" t="str">
        <f t="shared" si="12"/>
        <v>Kilos</v>
      </c>
      <c r="D40" s="116">
        <f>Consumos!D97</f>
        <v>15650</v>
      </c>
      <c r="E40" s="116">
        <f>Consumos!E97</f>
        <v>14750</v>
      </c>
      <c r="F40" s="116">
        <f>Consumos!F97</f>
        <v>12450</v>
      </c>
      <c r="G40" s="116">
        <f>Consumos!G97</f>
        <v>8400</v>
      </c>
      <c r="H40" s="116">
        <f>Consumos!H97</f>
        <v>6850</v>
      </c>
      <c r="I40" s="116">
        <f>Consumos!I97</f>
        <v>6550</v>
      </c>
      <c r="J40" s="116">
        <f>Consumos!J97</f>
        <v>5150</v>
      </c>
      <c r="K40" s="116">
        <f>Consumos!K97</f>
        <v>5100</v>
      </c>
      <c r="L40" s="116">
        <f>Consumos!L97</f>
        <v>9150</v>
      </c>
      <c r="M40" s="116">
        <f>Consumos!M97</f>
        <v>13350</v>
      </c>
      <c r="N40" s="116">
        <f>Consumos!N97</f>
        <v>16650</v>
      </c>
      <c r="O40" s="117">
        <f>Consumos!O97</f>
        <v>15946</v>
      </c>
    </row>
    <row r="41" spans="2:15" ht="13.5" customHeight="1" x14ac:dyDescent="0.2">
      <c r="B41" s="118" t="s">
        <v>112</v>
      </c>
      <c r="C41" s="119" t="str">
        <f t="shared" si="12"/>
        <v>Kilos</v>
      </c>
      <c r="D41" s="120">
        <f>D38+D39-D40</f>
        <v>-650</v>
      </c>
      <c r="E41" s="120">
        <f t="shared" ref="E41:O41" si="13">D41+E39-E40</f>
        <v>600</v>
      </c>
      <c r="F41" s="120">
        <f t="shared" si="13"/>
        <v>150</v>
      </c>
      <c r="G41" s="120">
        <f t="shared" si="13"/>
        <v>750</v>
      </c>
      <c r="H41" s="120">
        <f t="shared" si="13"/>
        <v>900</v>
      </c>
      <c r="I41" s="120">
        <f t="shared" si="13"/>
        <v>9350</v>
      </c>
      <c r="J41" s="120">
        <f t="shared" si="13"/>
        <v>4200</v>
      </c>
      <c r="K41" s="120">
        <f t="shared" si="13"/>
        <v>14100</v>
      </c>
      <c r="L41" s="120">
        <f t="shared" si="13"/>
        <v>4950</v>
      </c>
      <c r="M41" s="120">
        <f t="shared" si="13"/>
        <v>6600</v>
      </c>
      <c r="N41" s="120">
        <f t="shared" si="13"/>
        <v>4950</v>
      </c>
      <c r="O41" s="121">
        <f t="shared" si="13"/>
        <v>2004</v>
      </c>
    </row>
    <row r="42" spans="2:15" ht="12.75" customHeight="1" x14ac:dyDescent="0.2"/>
    <row r="43" spans="2:15" ht="13.5" customHeight="1" x14ac:dyDescent="0.2"/>
    <row r="44" spans="2:15" ht="26.25" customHeight="1" x14ac:dyDescent="0.2">
      <c r="B44" s="94" t="str">
        <f>"Plan de Compras de "&amp;Consumos!B98</f>
        <v>Plan de Compras de Frutas y secos</v>
      </c>
      <c r="C44" s="95" t="s">
        <v>55</v>
      </c>
      <c r="D44" s="95" t="str">
        <f>Consumos!D94</f>
        <v>Enero</v>
      </c>
      <c r="E44" s="95" t="str">
        <f>Consumos!E94</f>
        <v>Febrero</v>
      </c>
      <c r="F44" s="95" t="str">
        <f>Consumos!F94</f>
        <v>Marzo</v>
      </c>
      <c r="G44" s="95" t="str">
        <f>Consumos!G94</f>
        <v>Abril</v>
      </c>
      <c r="H44" s="95" t="str">
        <f>Consumos!H94</f>
        <v>Mayo</v>
      </c>
      <c r="I44" s="95" t="str">
        <f>Consumos!I94</f>
        <v>Junio</v>
      </c>
      <c r="J44" s="95" t="str">
        <f>Consumos!J94</f>
        <v>Julio</v>
      </c>
      <c r="K44" s="95" t="str">
        <f>Consumos!K94</f>
        <v>Agosto</v>
      </c>
      <c r="L44" s="95" t="str">
        <f>Consumos!L94</f>
        <v>Sept.</v>
      </c>
      <c r="M44" s="95" t="str">
        <f>Consumos!M94</f>
        <v>Oct.</v>
      </c>
      <c r="N44" s="95" t="str">
        <f>Consumos!N94</f>
        <v>Nov.</v>
      </c>
      <c r="O44" s="96" t="str">
        <f>Consumos!O94</f>
        <v>Dic.</v>
      </c>
    </row>
    <row r="45" spans="2:15" ht="13.5" customHeight="1" x14ac:dyDescent="0.2">
      <c r="B45" s="17" t="s">
        <v>109</v>
      </c>
      <c r="C45" s="115" t="str">
        <f>C25</f>
        <v>Litros</v>
      </c>
      <c r="D45" s="122">
        <v>0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09"/>
    </row>
    <row r="46" spans="2:15" ht="14.25" customHeight="1" x14ac:dyDescent="0.2">
      <c r="B46" s="110" t="str">
        <f>"Compras de "&amp;Consumos!B98</f>
        <v>Compras de Frutas y secos</v>
      </c>
      <c r="C46" s="144" t="str">
        <f t="shared" ref="C46:C48" si="14">C45</f>
        <v>Litros</v>
      </c>
      <c r="D46" s="112">
        <v>3000</v>
      </c>
      <c r="E46" s="112">
        <v>3000</v>
      </c>
      <c r="F46" s="112">
        <v>2000</v>
      </c>
      <c r="G46" s="112">
        <v>2500</v>
      </c>
      <c r="H46" s="112">
        <v>0</v>
      </c>
      <c r="I46" s="112">
        <v>1000</v>
      </c>
      <c r="J46" s="112">
        <v>1000</v>
      </c>
      <c r="K46" s="112">
        <v>1000</v>
      </c>
      <c r="L46" s="112">
        <v>2000</v>
      </c>
      <c r="M46" s="112">
        <v>2000</v>
      </c>
      <c r="N46" s="112">
        <v>3000</v>
      </c>
      <c r="O46" s="113">
        <v>3000</v>
      </c>
    </row>
    <row r="47" spans="2:15" ht="13.5" customHeight="1" x14ac:dyDescent="0.2">
      <c r="B47" s="114" t="s">
        <v>119</v>
      </c>
      <c r="C47" s="115" t="str">
        <f t="shared" si="14"/>
        <v>Litros</v>
      </c>
      <c r="D47" s="116">
        <f>Consumos!D98</f>
        <v>2925</v>
      </c>
      <c r="E47" s="116">
        <f>Consumos!E98</f>
        <v>2600</v>
      </c>
      <c r="F47" s="116">
        <f>Consumos!F98</f>
        <v>2250</v>
      </c>
      <c r="G47" s="116">
        <f>Consumos!G98</f>
        <v>1475</v>
      </c>
      <c r="H47" s="116">
        <f>Consumos!H98</f>
        <v>1200</v>
      </c>
      <c r="I47" s="116">
        <f>Consumos!I98</f>
        <v>975</v>
      </c>
      <c r="J47" s="116">
        <f>Consumos!J98</f>
        <v>850</v>
      </c>
      <c r="K47" s="116">
        <f>Consumos!K98</f>
        <v>1025</v>
      </c>
      <c r="L47" s="116">
        <f>Consumos!L98</f>
        <v>1625</v>
      </c>
      <c r="M47" s="116">
        <f>Consumos!M98</f>
        <v>2350</v>
      </c>
      <c r="N47" s="116">
        <f>Consumos!N98</f>
        <v>2950</v>
      </c>
      <c r="O47" s="117">
        <f>Consumos!O98</f>
        <v>2960</v>
      </c>
    </row>
    <row r="48" spans="2:15" ht="13.5" customHeight="1" x14ac:dyDescent="0.2">
      <c r="B48" s="118" t="s">
        <v>112</v>
      </c>
      <c r="C48" s="119" t="str">
        <f t="shared" si="14"/>
        <v>Litros</v>
      </c>
      <c r="D48" s="120">
        <f>D45+D46-D47</f>
        <v>75</v>
      </c>
      <c r="E48" s="120">
        <f t="shared" ref="E48:O48" si="15">D48+E46-E47</f>
        <v>475</v>
      </c>
      <c r="F48" s="120">
        <f t="shared" si="15"/>
        <v>225</v>
      </c>
      <c r="G48" s="120">
        <f t="shared" si="15"/>
        <v>1250</v>
      </c>
      <c r="H48" s="120">
        <f t="shared" si="15"/>
        <v>50</v>
      </c>
      <c r="I48" s="120">
        <f t="shared" si="15"/>
        <v>75</v>
      </c>
      <c r="J48" s="120">
        <f t="shared" si="15"/>
        <v>225</v>
      </c>
      <c r="K48" s="120">
        <f t="shared" si="15"/>
        <v>200</v>
      </c>
      <c r="L48" s="120">
        <f t="shared" si="15"/>
        <v>575</v>
      </c>
      <c r="M48" s="120">
        <f t="shared" si="15"/>
        <v>225</v>
      </c>
      <c r="N48" s="120">
        <f t="shared" si="15"/>
        <v>275</v>
      </c>
      <c r="O48" s="121">
        <f t="shared" si="15"/>
        <v>315</v>
      </c>
    </row>
    <row r="49" spans="2:15" ht="12.75" customHeight="1" x14ac:dyDescent="0.2"/>
    <row r="50" spans="2:15" ht="13.5" customHeight="1" x14ac:dyDescent="0.2"/>
    <row r="51" spans="2:15" ht="26.25" customHeight="1" x14ac:dyDescent="0.2">
      <c r="B51" s="94" t="str">
        <f>"Plan de Compras de "&amp;Consumos!B99</f>
        <v>Plan de Compras de Otros</v>
      </c>
      <c r="C51" s="95" t="s">
        <v>55</v>
      </c>
      <c r="D51" s="95" t="str">
        <f t="shared" ref="D51:O51" si="16">D44</f>
        <v>Enero</v>
      </c>
      <c r="E51" s="95" t="str">
        <f t="shared" si="16"/>
        <v>Febrero</v>
      </c>
      <c r="F51" s="95" t="str">
        <f t="shared" si="16"/>
        <v>Marzo</v>
      </c>
      <c r="G51" s="95" t="str">
        <f t="shared" si="16"/>
        <v>Abril</v>
      </c>
      <c r="H51" s="95" t="str">
        <f t="shared" si="16"/>
        <v>Mayo</v>
      </c>
      <c r="I51" s="95" t="str">
        <f t="shared" si="16"/>
        <v>Junio</v>
      </c>
      <c r="J51" s="95" t="str">
        <f t="shared" si="16"/>
        <v>Julio</v>
      </c>
      <c r="K51" s="95" t="str">
        <f t="shared" si="16"/>
        <v>Agosto</v>
      </c>
      <c r="L51" s="95" t="str">
        <f t="shared" si="16"/>
        <v>Sept.</v>
      </c>
      <c r="M51" s="95" t="str">
        <f t="shared" si="16"/>
        <v>Oct.</v>
      </c>
      <c r="N51" s="95" t="str">
        <f t="shared" si="16"/>
        <v>Nov.</v>
      </c>
      <c r="O51" s="96" t="str">
        <f t="shared" si="16"/>
        <v>Dic.</v>
      </c>
    </row>
    <row r="52" spans="2:15" ht="13.5" customHeight="1" x14ac:dyDescent="0.2">
      <c r="B52" s="17" t="s">
        <v>109</v>
      </c>
      <c r="C52" s="115" t="str">
        <f>Consumos!C99</f>
        <v>Pesos</v>
      </c>
      <c r="D52" s="122">
        <v>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09"/>
    </row>
    <row r="53" spans="2:15" ht="14.25" customHeight="1" x14ac:dyDescent="0.2">
      <c r="B53" s="110" t="str">
        <f>"Compras de "&amp;Consumos!B99</f>
        <v>Compras de Otros</v>
      </c>
      <c r="C53" s="144" t="str">
        <f t="shared" ref="C53:C55" si="17">C52</f>
        <v>Pesos</v>
      </c>
      <c r="D53" s="112">
        <v>40000</v>
      </c>
      <c r="E53" s="112">
        <v>0</v>
      </c>
      <c r="F53" s="112">
        <v>60000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20000</v>
      </c>
      <c r="O53" s="113">
        <v>10000</v>
      </c>
    </row>
    <row r="54" spans="2:15" ht="13.5" customHeight="1" x14ac:dyDescent="0.2">
      <c r="B54" s="114" t="s">
        <v>119</v>
      </c>
      <c r="C54" s="115" t="str">
        <f t="shared" si="17"/>
        <v>Pesos</v>
      </c>
      <c r="D54" s="116">
        <f>Consumos!D99</f>
        <v>17850</v>
      </c>
      <c r="E54" s="116">
        <f>Consumos!E99</f>
        <v>15590</v>
      </c>
      <c r="F54" s="116">
        <f>Consumos!F99</f>
        <v>12570</v>
      </c>
      <c r="G54" s="116">
        <f>Consumos!G99</f>
        <v>7280</v>
      </c>
      <c r="H54" s="116">
        <f>Consumos!H99</f>
        <v>5010</v>
      </c>
      <c r="I54" s="116">
        <f>Consumos!I99</f>
        <v>4430</v>
      </c>
      <c r="J54" s="116">
        <f>Consumos!J99</f>
        <v>3110</v>
      </c>
      <c r="K54" s="116">
        <f>Consumos!K99</f>
        <v>3100</v>
      </c>
      <c r="L54" s="116">
        <f>Consumos!L99</f>
        <v>8590</v>
      </c>
      <c r="M54" s="116">
        <f>Consumos!M99</f>
        <v>14190</v>
      </c>
      <c r="N54" s="116">
        <f>Consumos!N99</f>
        <v>18850</v>
      </c>
      <c r="O54" s="117">
        <f>Consumos!O99</f>
        <v>17378</v>
      </c>
    </row>
    <row r="55" spans="2:15" ht="13.5" customHeight="1" x14ac:dyDescent="0.2">
      <c r="B55" s="118" t="s">
        <v>112</v>
      </c>
      <c r="C55" s="119" t="str">
        <f t="shared" si="17"/>
        <v>Pesos</v>
      </c>
      <c r="D55" s="120">
        <f>D52+D53-D54</f>
        <v>22150</v>
      </c>
      <c r="E55" s="120">
        <f t="shared" ref="E55:O55" si="18">D55+E53-E54</f>
        <v>6560</v>
      </c>
      <c r="F55" s="120">
        <f t="shared" si="18"/>
        <v>53990</v>
      </c>
      <c r="G55" s="120">
        <f t="shared" si="18"/>
        <v>46710</v>
      </c>
      <c r="H55" s="120">
        <f t="shared" si="18"/>
        <v>41700</v>
      </c>
      <c r="I55" s="120">
        <f t="shared" si="18"/>
        <v>37270</v>
      </c>
      <c r="J55" s="120">
        <f t="shared" si="18"/>
        <v>34160</v>
      </c>
      <c r="K55" s="120">
        <f t="shared" si="18"/>
        <v>31060</v>
      </c>
      <c r="L55" s="120">
        <f t="shared" si="18"/>
        <v>22470</v>
      </c>
      <c r="M55" s="120">
        <f t="shared" si="18"/>
        <v>8280</v>
      </c>
      <c r="N55" s="120">
        <f t="shared" si="18"/>
        <v>9430</v>
      </c>
      <c r="O55" s="121">
        <f t="shared" si="18"/>
        <v>2052</v>
      </c>
    </row>
    <row r="56" spans="2:15" ht="12.75" customHeight="1" x14ac:dyDescent="0.2"/>
    <row r="57" spans="2:15" ht="13.5" customHeight="1" x14ac:dyDescent="0.2"/>
    <row r="58" spans="2:15" ht="26.25" customHeight="1" x14ac:dyDescent="0.2">
      <c r="B58" s="145" t="s">
        <v>120</v>
      </c>
      <c r="C58" s="95" t="s">
        <v>55</v>
      </c>
      <c r="D58" s="95" t="s">
        <v>121</v>
      </c>
      <c r="E58" s="95" t="s">
        <v>72</v>
      </c>
      <c r="F58" s="15" t="s">
        <v>116</v>
      </c>
    </row>
    <row r="59" spans="2:15" ht="12.75" customHeight="1" x14ac:dyDescent="0.2">
      <c r="B59" s="146" t="str">
        <f t="shared" ref="B59:C59" si="19">B5</f>
        <v>Leche</v>
      </c>
      <c r="C59" s="98" t="str">
        <f t="shared" si="19"/>
        <v>Litros</v>
      </c>
      <c r="D59" s="99">
        <f>O27</f>
        <v>6933</v>
      </c>
      <c r="E59" s="123">
        <f>Productos!D21</f>
        <v>1800</v>
      </c>
      <c r="F59" s="147">
        <f t="shared" ref="F59:F63" si="20">D59*E59</f>
        <v>12479400</v>
      </c>
    </row>
    <row r="60" spans="2:15" ht="12.75" customHeight="1" x14ac:dyDescent="0.2">
      <c r="B60" s="146" t="str">
        <f t="shared" ref="B60:C60" si="21">B6</f>
        <v>Crema</v>
      </c>
      <c r="C60" s="98" t="str">
        <f t="shared" si="21"/>
        <v>Kilos</v>
      </c>
      <c r="D60" s="99">
        <f>O34</f>
        <v>952</v>
      </c>
      <c r="E60" s="123">
        <f>Productos!D22</f>
        <v>4500</v>
      </c>
      <c r="F60" s="147">
        <f t="shared" si="20"/>
        <v>4284000</v>
      </c>
    </row>
    <row r="61" spans="2:15" ht="12.75" customHeight="1" x14ac:dyDescent="0.2">
      <c r="B61" s="146" t="str">
        <f t="shared" ref="B61:C61" si="22">B7</f>
        <v>Azucar</v>
      </c>
      <c r="C61" s="98" t="str">
        <f t="shared" si="22"/>
        <v>Kilos</v>
      </c>
      <c r="D61" s="99">
        <f>O41</f>
        <v>2004</v>
      </c>
      <c r="E61" s="123">
        <f>Productos!D23</f>
        <v>1500</v>
      </c>
      <c r="F61" s="147">
        <f t="shared" si="20"/>
        <v>3006000</v>
      </c>
    </row>
    <row r="62" spans="2:15" ht="12.75" customHeight="1" x14ac:dyDescent="0.2">
      <c r="B62" s="146" t="str">
        <f t="shared" ref="B62:C62" si="23">B8</f>
        <v>Frutas y secos</v>
      </c>
      <c r="C62" s="98" t="str">
        <f t="shared" si="23"/>
        <v>Kilos</v>
      </c>
      <c r="D62" s="99">
        <f>O48</f>
        <v>315</v>
      </c>
      <c r="E62" s="123">
        <f>Productos!D24</f>
        <v>8000</v>
      </c>
      <c r="F62" s="147">
        <f t="shared" si="20"/>
        <v>2520000</v>
      </c>
    </row>
    <row r="63" spans="2:15" ht="13.5" customHeight="1" x14ac:dyDescent="0.2">
      <c r="B63" s="148" t="str">
        <f t="shared" ref="B63:C63" si="24">B9</f>
        <v>Otros</v>
      </c>
      <c r="C63" s="135" t="str">
        <f t="shared" si="24"/>
        <v>Pesos</v>
      </c>
      <c r="D63" s="149">
        <f>O55</f>
        <v>2052</v>
      </c>
      <c r="E63" s="150">
        <f>Productos!D25</f>
        <v>5000</v>
      </c>
      <c r="F63" s="151">
        <f t="shared" si="20"/>
        <v>10260000</v>
      </c>
    </row>
    <row r="64" spans="2:15" ht="14.25" customHeight="1" x14ac:dyDescent="0.2">
      <c r="B64" s="25"/>
      <c r="C64" s="26"/>
      <c r="D64" s="26"/>
      <c r="E64" s="26"/>
      <c r="F64" s="152">
        <f>SUM(F59:F63)</f>
        <v>32549400</v>
      </c>
    </row>
    <row r="65" spans="6:6" ht="12.75" customHeight="1" x14ac:dyDescent="0.2"/>
    <row r="66" spans="6:6" ht="12.75" customHeight="1" x14ac:dyDescent="0.2">
      <c r="F66" s="153"/>
    </row>
    <row r="67" spans="6:6" ht="12.75" customHeight="1" x14ac:dyDescent="0.2"/>
    <row r="68" spans="6:6" ht="12.75" customHeight="1" x14ac:dyDescent="0.2"/>
    <row r="69" spans="6:6" ht="12.75" customHeight="1" x14ac:dyDescent="0.2"/>
    <row r="70" spans="6:6" ht="12.75" customHeight="1" x14ac:dyDescent="0.2"/>
    <row r="71" spans="6:6" ht="12.75" customHeight="1" x14ac:dyDescent="0.2"/>
    <row r="72" spans="6:6" ht="12.75" customHeight="1" x14ac:dyDescent="0.2"/>
    <row r="73" spans="6:6" ht="12.75" customHeight="1" x14ac:dyDescent="0.2"/>
    <row r="74" spans="6:6" ht="12.75" customHeight="1" x14ac:dyDescent="0.2"/>
    <row r="75" spans="6:6" ht="12.75" customHeight="1" x14ac:dyDescent="0.2"/>
    <row r="76" spans="6:6" ht="12.75" customHeight="1" x14ac:dyDescent="0.2"/>
    <row r="77" spans="6:6" ht="12.75" customHeight="1" x14ac:dyDescent="0.2"/>
    <row r="78" spans="6:6" ht="12.75" customHeight="1" x14ac:dyDescent="0.2"/>
    <row r="79" spans="6:6" ht="12.75" customHeight="1" x14ac:dyDescent="0.2"/>
    <row r="80" spans="6:6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00"/>
  <sheetViews>
    <sheetView workbookViewId="0"/>
  </sheetViews>
  <sheetFormatPr baseColWidth="10" defaultColWidth="12.5703125" defaultRowHeight="15" customHeight="1" x14ac:dyDescent="0.2"/>
  <cols>
    <col min="1" max="1" width="4.140625" customWidth="1"/>
    <col min="2" max="2" width="30.7109375" customWidth="1"/>
    <col min="3" max="3" width="9.7109375" customWidth="1"/>
    <col min="4" max="4" width="10.7109375" customWidth="1"/>
    <col min="5" max="5" width="11.28515625" customWidth="1"/>
    <col min="6" max="6" width="11.42578125" customWidth="1"/>
    <col min="7" max="7" width="11.28515625" customWidth="1"/>
    <col min="8" max="8" width="11.140625" customWidth="1"/>
    <col min="9" max="9" width="12.28515625" customWidth="1"/>
    <col min="10" max="10" width="11.140625" customWidth="1"/>
    <col min="11" max="15" width="9.7109375" customWidth="1"/>
    <col min="16" max="26" width="10" customWidth="1"/>
  </cols>
  <sheetData>
    <row r="1" spans="1:8" ht="20.25" customHeight="1" x14ac:dyDescent="0.3">
      <c r="A1" s="6"/>
      <c r="F1" s="7" t="str">
        <f>Productos!G1</f>
        <v>Heladería DANG</v>
      </c>
    </row>
    <row r="2" spans="1:8" ht="12.75" customHeight="1" x14ac:dyDescent="0.2"/>
    <row r="3" spans="1:8" ht="12.75" customHeight="1" x14ac:dyDescent="0.2">
      <c r="A3" s="8" t="s">
        <v>122</v>
      </c>
    </row>
    <row r="4" spans="1:8" ht="12.75" customHeight="1" x14ac:dyDescent="0.2"/>
    <row r="5" spans="1:8" ht="12.75" customHeight="1" x14ac:dyDescent="0.2">
      <c r="B5" s="8" t="s">
        <v>52</v>
      </c>
    </row>
    <row r="6" spans="1:8" ht="13.5" customHeight="1" x14ac:dyDescent="0.2">
      <c r="D6" s="154"/>
      <c r="E6" s="154"/>
      <c r="F6" s="154"/>
      <c r="G6" s="154"/>
      <c r="H6" s="154"/>
    </row>
    <row r="7" spans="1:8" ht="39" customHeight="1" x14ac:dyDescent="0.2">
      <c r="A7" s="12" t="s">
        <v>53</v>
      </c>
      <c r="B7" s="13" t="s">
        <v>54</v>
      </c>
      <c r="C7" s="14" t="s">
        <v>55</v>
      </c>
      <c r="D7" s="16" t="str">
        <f>Productos!E5</f>
        <v>Cantidad Leche en Litros</v>
      </c>
      <c r="E7" s="16" t="str">
        <f>Productos!F5</f>
        <v>Cantidad Crema en Kilos</v>
      </c>
      <c r="F7" s="16" t="str">
        <f>Productos!G5</f>
        <v>Cantidad Azucar en Kilos</v>
      </c>
      <c r="G7" s="16" t="str">
        <f>Productos!H5</f>
        <v>Cantidad Fruta en Kilos</v>
      </c>
      <c r="H7" s="32" t="str">
        <f>Productos!I5</f>
        <v>Cantidad Otros en Pesos</v>
      </c>
    </row>
    <row r="8" spans="1:8" ht="12.75" customHeight="1" x14ac:dyDescent="0.2">
      <c r="A8" s="17">
        <v>1</v>
      </c>
      <c r="B8" s="18" t="str">
        <f>Productos!B6</f>
        <v>Helado por 10 litros liso</v>
      </c>
      <c r="C8" s="18" t="str">
        <f>Productos!C6</f>
        <v xml:space="preserve">Barril </v>
      </c>
      <c r="D8" s="22">
        <f>Productos!E6</f>
        <v>8</v>
      </c>
      <c r="E8" s="22">
        <f>Productos!F6</f>
        <v>2</v>
      </c>
      <c r="F8" s="22">
        <f>Productos!G6</f>
        <v>4</v>
      </c>
      <c r="G8" s="22">
        <f>Productos!H6</f>
        <v>0</v>
      </c>
      <c r="H8" s="23">
        <f>Productos!I6</f>
        <v>6</v>
      </c>
    </row>
    <row r="9" spans="1:8" ht="12.75" customHeight="1" x14ac:dyDescent="0.2">
      <c r="A9" s="17">
        <v>2</v>
      </c>
      <c r="B9" s="18" t="str">
        <f>Productos!B7</f>
        <v>Helado por 10 litros con Fruta</v>
      </c>
      <c r="C9" s="18" t="str">
        <f>Productos!C7</f>
        <v xml:space="preserve">Barril </v>
      </c>
      <c r="D9" s="22">
        <f>Productos!E7</f>
        <v>8</v>
      </c>
      <c r="E9" s="22">
        <f>Productos!F7</f>
        <v>2</v>
      </c>
      <c r="F9" s="22">
        <f>Productos!G7</f>
        <v>4</v>
      </c>
      <c r="G9" s="22">
        <f>Productos!H7</f>
        <v>2</v>
      </c>
      <c r="H9" s="23">
        <f>Productos!I7</f>
        <v>6</v>
      </c>
    </row>
    <row r="10" spans="1:8" ht="12.75" customHeight="1" x14ac:dyDescent="0.2">
      <c r="A10" s="17">
        <v>3</v>
      </c>
      <c r="B10" s="18" t="str">
        <f>Productos!B8</f>
        <v>Helado por 5 litros</v>
      </c>
      <c r="C10" s="18" t="str">
        <f>Productos!C8</f>
        <v>Balde 5 lt.</v>
      </c>
      <c r="D10" s="22">
        <f>Productos!E8</f>
        <v>4.5</v>
      </c>
      <c r="E10" s="22">
        <f>Productos!F8</f>
        <v>0.5</v>
      </c>
      <c r="F10" s="22">
        <f>Productos!G8</f>
        <v>2</v>
      </c>
      <c r="G10" s="22">
        <f>Productos!H8</f>
        <v>0</v>
      </c>
      <c r="H10" s="23">
        <f>Productos!I8</f>
        <v>2</v>
      </c>
    </row>
    <row r="11" spans="1:8" ht="12.75" customHeight="1" x14ac:dyDescent="0.2">
      <c r="A11" s="17">
        <v>4</v>
      </c>
      <c r="B11" s="18" t="str">
        <f>Productos!B9</f>
        <v>Balde 5 litros 2 sabores</v>
      </c>
      <c r="C11" s="18" t="str">
        <f>Productos!C9</f>
        <v>Balde 5 lt.</v>
      </c>
      <c r="D11" s="22">
        <f>Productos!E9</f>
        <v>4.2</v>
      </c>
      <c r="E11" s="22">
        <f>Productos!F9</f>
        <v>0.5</v>
      </c>
      <c r="F11" s="22">
        <f>Productos!G9</f>
        <v>2</v>
      </c>
      <c r="G11" s="22">
        <f>Productos!H9</f>
        <v>0</v>
      </c>
      <c r="H11" s="23">
        <f>Productos!I9</f>
        <v>2</v>
      </c>
    </row>
    <row r="12" spans="1:8" ht="12.75" customHeight="1" x14ac:dyDescent="0.2">
      <c r="A12" s="17">
        <v>5</v>
      </c>
      <c r="B12" s="18" t="str">
        <f>Productos!B10</f>
        <v>Helado 2 litros liso</v>
      </c>
      <c r="C12" s="18" t="str">
        <f>Productos!C10</f>
        <v>Balde 2 lt.</v>
      </c>
      <c r="D12" s="22">
        <f>Productos!E10</f>
        <v>1.5</v>
      </c>
      <c r="E12" s="22">
        <f>Productos!F10</f>
        <v>0.5</v>
      </c>
      <c r="F12" s="22">
        <f>Productos!G10</f>
        <v>1</v>
      </c>
      <c r="G12" s="22">
        <f>Productos!H10</f>
        <v>0</v>
      </c>
      <c r="H12" s="23">
        <f>Productos!I10</f>
        <v>0.2</v>
      </c>
    </row>
    <row r="13" spans="1:8" ht="12.75" customHeight="1" x14ac:dyDescent="0.2">
      <c r="A13" s="17">
        <v>6</v>
      </c>
      <c r="B13" s="18" t="str">
        <f>Productos!B11</f>
        <v>Helado 2 litros con Fruta</v>
      </c>
      <c r="C13" s="18" t="str">
        <f>Productos!C11</f>
        <v>Balde 2 lt.</v>
      </c>
      <c r="D13" s="22">
        <f>Productos!E11</f>
        <v>1.5</v>
      </c>
      <c r="E13" s="22">
        <f>Productos!F11</f>
        <v>0.5</v>
      </c>
      <c r="F13" s="22">
        <f>Productos!G11</f>
        <v>1</v>
      </c>
      <c r="G13" s="22">
        <f>Productos!H11</f>
        <v>0.5</v>
      </c>
      <c r="H13" s="23">
        <f>Productos!I11</f>
        <v>0.2</v>
      </c>
    </row>
    <row r="14" spans="1:8" ht="12.75" customHeight="1" x14ac:dyDescent="0.2">
      <c r="A14" s="17">
        <v>7</v>
      </c>
      <c r="B14" s="18" t="str">
        <f>Productos!B12</f>
        <v>Helado 2 litros 2 sabores</v>
      </c>
      <c r="C14" s="18" t="str">
        <f>Productos!C12</f>
        <v>Balde 2 lt.</v>
      </c>
      <c r="D14" s="22">
        <f>Productos!E12</f>
        <v>1.5</v>
      </c>
      <c r="E14" s="22">
        <f>Productos!F12</f>
        <v>0.5</v>
      </c>
      <c r="F14" s="22">
        <f>Productos!G12</f>
        <v>1</v>
      </c>
      <c r="G14" s="22">
        <f>Productos!H12</f>
        <v>0</v>
      </c>
      <c r="H14" s="23">
        <f>Productos!I12</f>
        <v>0.2</v>
      </c>
    </row>
    <row r="15" spans="1:8" ht="12.75" customHeight="1" x14ac:dyDescent="0.2">
      <c r="A15" s="17">
        <v>8</v>
      </c>
      <c r="B15" s="18" t="str">
        <f>Productos!B13</f>
        <v>Helado 1 litro liso</v>
      </c>
      <c r="C15" s="18" t="str">
        <f>Productos!C13</f>
        <v>Vaso 1 lt.</v>
      </c>
      <c r="D15" s="22">
        <f>Productos!E13</f>
        <v>0.75</v>
      </c>
      <c r="E15" s="22">
        <f>Productos!F13</f>
        <v>0.25</v>
      </c>
      <c r="F15" s="22">
        <f>Productos!G13</f>
        <v>0.5</v>
      </c>
      <c r="G15" s="22">
        <f>Productos!H13</f>
        <v>0</v>
      </c>
      <c r="H15" s="23">
        <f>Productos!I13</f>
        <v>0.1</v>
      </c>
    </row>
    <row r="16" spans="1:8" ht="12.75" customHeight="1" x14ac:dyDescent="0.2">
      <c r="A16" s="17">
        <v>9</v>
      </c>
      <c r="B16" s="18" t="str">
        <f>Productos!B14</f>
        <v>Helado 1 litro con Fruta</v>
      </c>
      <c r="C16" s="18" t="str">
        <f>Productos!C14</f>
        <v>Vaso 1 lt.</v>
      </c>
      <c r="D16" s="22">
        <f>Productos!E14</f>
        <v>0.75</v>
      </c>
      <c r="E16" s="22">
        <f>Productos!F14</f>
        <v>0.25</v>
      </c>
      <c r="F16" s="22">
        <f>Productos!G14</f>
        <v>0.5</v>
      </c>
      <c r="G16" s="22">
        <f>Productos!H14</f>
        <v>0.25</v>
      </c>
      <c r="H16" s="23">
        <f>Productos!I14</f>
        <v>0.1</v>
      </c>
    </row>
    <row r="17" spans="1:15" ht="13.5" customHeight="1" x14ac:dyDescent="0.2">
      <c r="A17" s="25">
        <v>10</v>
      </c>
      <c r="B17" s="26" t="str">
        <f>Productos!B15</f>
        <v>Helado 1 litro 2 sabores</v>
      </c>
      <c r="C17" s="26" t="str">
        <f>Productos!C15</f>
        <v>Vaso 1 lt.</v>
      </c>
      <c r="D17" s="29">
        <f>Productos!E15</f>
        <v>0.75</v>
      </c>
      <c r="E17" s="29">
        <f>Productos!F15</f>
        <v>0.25</v>
      </c>
      <c r="F17" s="29">
        <f>Productos!G15</f>
        <v>0.5</v>
      </c>
      <c r="G17" s="29">
        <f>Productos!H15</f>
        <v>0</v>
      </c>
      <c r="H17" s="30">
        <f>Productos!I15</f>
        <v>0.1</v>
      </c>
    </row>
    <row r="18" spans="1:15" ht="13.5" customHeight="1" x14ac:dyDescent="0.2"/>
    <row r="19" spans="1:15" ht="12.75" hidden="1" customHeight="1" x14ac:dyDescent="0.2"/>
    <row r="20" spans="1:15" ht="13.5" hidden="1" customHeight="1" x14ac:dyDescent="0.2"/>
    <row r="21" spans="1:15" ht="13.5" customHeight="1" x14ac:dyDescent="0.2">
      <c r="A21" s="12" t="s">
        <v>53</v>
      </c>
      <c r="B21" s="13" t="str">
        <f>"Necesidades de "&amp;Productos!E21</f>
        <v>Necesidades de Leche</v>
      </c>
      <c r="C21" s="14" t="str">
        <f>Ventas!$C$3</f>
        <v>Enero</v>
      </c>
      <c r="D21" s="14" t="str">
        <f>Ventas!$D$3</f>
        <v>Febrero</v>
      </c>
      <c r="E21" s="14" t="str">
        <f>Ventas!$E$3</f>
        <v>Marzo</v>
      </c>
      <c r="F21" s="14" t="str">
        <f>Ventas!$F$3</f>
        <v>Abril</v>
      </c>
      <c r="G21" s="14" t="str">
        <f>Ventas!$G$3</f>
        <v>Mayo</v>
      </c>
      <c r="H21" s="14" t="str">
        <f>Ventas!$H$3</f>
        <v>Junio</v>
      </c>
      <c r="I21" s="14" t="str">
        <f>Ventas!$I$3</f>
        <v>Julio</v>
      </c>
      <c r="J21" s="14" t="str">
        <f>Ventas!$J$3</f>
        <v>Agosto</v>
      </c>
      <c r="K21" s="14" t="str">
        <f>Ventas!$K$3</f>
        <v>Sept.</v>
      </c>
      <c r="L21" s="14" t="str">
        <f>Ventas!$L$3</f>
        <v>Oct.</v>
      </c>
      <c r="M21" s="14" t="str">
        <f>Ventas!$M$3</f>
        <v>Nov.</v>
      </c>
      <c r="N21" s="14" t="str">
        <f>Ventas!$N$3</f>
        <v>Dic.</v>
      </c>
      <c r="O21" s="155" t="s">
        <v>99</v>
      </c>
    </row>
    <row r="22" spans="1:15" ht="12.75" customHeight="1" x14ac:dyDescent="0.2">
      <c r="A22" s="156">
        <f>Productos!A6</f>
        <v>1</v>
      </c>
      <c r="B22" s="157" t="str">
        <f>Productos!B6</f>
        <v>Helado por 10 litros liso</v>
      </c>
      <c r="C22" s="158">
        <f>Produccion!D4*Consumos!$D8</f>
        <v>9600</v>
      </c>
      <c r="D22" s="158">
        <f>Produccion!E4*Consumos!$D8</f>
        <v>8000</v>
      </c>
      <c r="E22" s="158">
        <f>Produccion!F4*Consumos!$D8</f>
        <v>6400</v>
      </c>
      <c r="F22" s="158">
        <f>Produccion!G4*Consumos!$D8</f>
        <v>3200</v>
      </c>
      <c r="G22" s="158">
        <f>Produccion!H4*Consumos!$D8</f>
        <v>2000</v>
      </c>
      <c r="H22" s="158">
        <f>Produccion!I4*Consumos!$D8</f>
        <v>1600</v>
      </c>
      <c r="I22" s="158">
        <f>Produccion!J4*Consumos!$D8</f>
        <v>1600</v>
      </c>
      <c r="J22" s="158">
        <f>Produccion!K4*Consumos!$D8</f>
        <v>1600</v>
      </c>
      <c r="K22" s="158">
        <f>Produccion!L4*Consumos!$D8</f>
        <v>4400</v>
      </c>
      <c r="L22" s="158">
        <f>Produccion!M4*Consumos!$D8</f>
        <v>7200</v>
      </c>
      <c r="M22" s="158">
        <f>Produccion!N4*Consumos!$D8</f>
        <v>9600</v>
      </c>
      <c r="N22" s="158">
        <f>Produccion!O4*Consumos!$D8</f>
        <v>7552</v>
      </c>
      <c r="O22" s="159">
        <f t="shared" ref="O22:O31" si="0">SUM(C22:N22)</f>
        <v>62752</v>
      </c>
    </row>
    <row r="23" spans="1:15" ht="12.75" customHeight="1" x14ac:dyDescent="0.2">
      <c r="A23" s="160">
        <f>Productos!A7</f>
        <v>2</v>
      </c>
      <c r="B23" s="161" t="str">
        <f>Productos!B7</f>
        <v>Helado por 10 litros con Fruta</v>
      </c>
      <c r="C23" s="158">
        <f>Produccion!D5*Consumos!$D9</f>
        <v>9600</v>
      </c>
      <c r="D23" s="158">
        <f>Produccion!E5*Consumos!$D9</f>
        <v>8000</v>
      </c>
      <c r="E23" s="158">
        <f>Produccion!F5*Consumos!$D9</f>
        <v>6400</v>
      </c>
      <c r="F23" s="158">
        <f>Produccion!G5*Consumos!$D9</f>
        <v>3200</v>
      </c>
      <c r="G23" s="158">
        <f>Produccion!H5*Consumos!$D9</f>
        <v>2000</v>
      </c>
      <c r="H23" s="158">
        <f>Produccion!I5*Consumos!$D9</f>
        <v>1600</v>
      </c>
      <c r="I23" s="158">
        <f>Produccion!J5*Consumos!$D9</f>
        <v>1600</v>
      </c>
      <c r="J23" s="158">
        <f>Produccion!K5*Consumos!$D9</f>
        <v>1600</v>
      </c>
      <c r="K23" s="158">
        <f>Produccion!L5*Consumos!$D9</f>
        <v>4400</v>
      </c>
      <c r="L23" s="158">
        <f>Produccion!M5*Consumos!$D9</f>
        <v>7200</v>
      </c>
      <c r="M23" s="158">
        <f>Produccion!N5*Consumos!$D9</f>
        <v>9600</v>
      </c>
      <c r="N23" s="158">
        <f>Produccion!O5*Consumos!$D9</f>
        <v>9600</v>
      </c>
      <c r="O23" s="162">
        <f t="shared" si="0"/>
        <v>64800</v>
      </c>
    </row>
    <row r="24" spans="1:15" ht="12.75" customHeight="1" x14ac:dyDescent="0.2">
      <c r="A24" s="160">
        <f>Productos!A8</f>
        <v>3</v>
      </c>
      <c r="B24" s="161" t="str">
        <f>Productos!B8</f>
        <v>Helado por 5 litros</v>
      </c>
      <c r="C24" s="158">
        <f>Produccion!D6*Consumos!$D10</f>
        <v>3600</v>
      </c>
      <c r="D24" s="158">
        <f>Produccion!E6*Consumos!$D10</f>
        <v>3600</v>
      </c>
      <c r="E24" s="158">
        <f>Produccion!F6*Consumos!$D10</f>
        <v>2700</v>
      </c>
      <c r="F24" s="158">
        <f>Produccion!G6*Consumos!$D10</f>
        <v>2700</v>
      </c>
      <c r="G24" s="158">
        <f>Produccion!H6*Consumos!$D10</f>
        <v>2025</v>
      </c>
      <c r="H24" s="158">
        <f>Produccion!I6*Consumos!$D10</f>
        <v>900</v>
      </c>
      <c r="I24" s="158">
        <f>Produccion!J6*Consumos!$D10</f>
        <v>0</v>
      </c>
      <c r="J24" s="158">
        <f>Produccion!K6*Consumos!$D10</f>
        <v>0</v>
      </c>
      <c r="K24" s="158">
        <f>Produccion!L6*Consumos!$D10</f>
        <v>1575</v>
      </c>
      <c r="L24" s="158">
        <f>Produccion!M6*Consumos!$D10</f>
        <v>2925</v>
      </c>
      <c r="M24" s="158">
        <f>Produccion!N6*Consumos!$D10</f>
        <v>4275</v>
      </c>
      <c r="N24" s="158">
        <f>Produccion!O6*Consumos!$D10</f>
        <v>4275</v>
      </c>
      <c r="O24" s="162">
        <f t="shared" si="0"/>
        <v>28575</v>
      </c>
    </row>
    <row r="25" spans="1:15" ht="12.75" customHeight="1" x14ac:dyDescent="0.2">
      <c r="A25" s="160">
        <f>Productos!A9</f>
        <v>4</v>
      </c>
      <c r="B25" s="161" t="str">
        <f>Productos!B9</f>
        <v>Balde 5 litros 2 sabores</v>
      </c>
      <c r="C25" s="158">
        <f>Produccion!D7*Consumos!$D11</f>
        <v>2520</v>
      </c>
      <c r="D25" s="158">
        <f>Produccion!E7*Consumos!$D11</f>
        <v>2520</v>
      </c>
      <c r="E25" s="158">
        <f>Produccion!F7*Consumos!$D11</f>
        <v>2100</v>
      </c>
      <c r="F25" s="158">
        <f>Produccion!G7*Consumos!$D11</f>
        <v>1260</v>
      </c>
      <c r="G25" s="158">
        <f>Produccion!H7*Consumos!$D11</f>
        <v>840</v>
      </c>
      <c r="H25" s="158">
        <f>Produccion!I7*Consumos!$D11</f>
        <v>1890</v>
      </c>
      <c r="I25" s="158">
        <f>Produccion!J7*Consumos!$D11</f>
        <v>0</v>
      </c>
      <c r="J25" s="158">
        <f>Produccion!K7*Consumos!$D11</f>
        <v>0</v>
      </c>
      <c r="K25" s="158">
        <f>Produccion!L7*Consumos!$D11</f>
        <v>1260</v>
      </c>
      <c r="L25" s="158">
        <f>Produccion!M7*Consumos!$D11</f>
        <v>2940</v>
      </c>
      <c r="M25" s="158">
        <f>Produccion!N7*Consumos!$D11</f>
        <v>3990</v>
      </c>
      <c r="N25" s="158">
        <f>Produccion!O7*Consumos!$D11</f>
        <v>3990</v>
      </c>
      <c r="O25" s="162">
        <f t="shared" si="0"/>
        <v>23310</v>
      </c>
    </row>
    <row r="26" spans="1:15" ht="12.75" customHeight="1" x14ac:dyDescent="0.2">
      <c r="A26" s="160">
        <f>Productos!A10</f>
        <v>5</v>
      </c>
      <c r="B26" s="161" t="str">
        <f>Productos!B10</f>
        <v>Helado 2 litros liso</v>
      </c>
      <c r="C26" s="158">
        <f>Produccion!D8*Consumos!$D12</f>
        <v>1350</v>
      </c>
      <c r="D26" s="158">
        <f>Produccion!E8*Consumos!$D12</f>
        <v>1500</v>
      </c>
      <c r="E26" s="158">
        <f>Produccion!F8*Consumos!$D12</f>
        <v>1350</v>
      </c>
      <c r="F26" s="158">
        <f>Produccion!G8*Consumos!$D12</f>
        <v>1050</v>
      </c>
      <c r="G26" s="158">
        <f>Produccion!H8*Consumos!$D12</f>
        <v>1050</v>
      </c>
      <c r="H26" s="158">
        <f>Produccion!I8*Consumos!$D12</f>
        <v>1200</v>
      </c>
      <c r="I26" s="158">
        <f>Produccion!J8*Consumos!$D12</f>
        <v>1350</v>
      </c>
      <c r="J26" s="158">
        <f>Produccion!K8*Consumos!$D12</f>
        <v>1350</v>
      </c>
      <c r="K26" s="158">
        <f>Produccion!L8*Consumos!$D12</f>
        <v>1200</v>
      </c>
      <c r="L26" s="158">
        <f>Produccion!M8*Consumos!$D12</f>
        <v>900</v>
      </c>
      <c r="M26" s="158">
        <f>Produccion!N8*Consumos!$D12</f>
        <v>750</v>
      </c>
      <c r="N26" s="158">
        <f>Produccion!O8*Consumos!$D12</f>
        <v>1050</v>
      </c>
      <c r="O26" s="162">
        <f t="shared" si="0"/>
        <v>14100</v>
      </c>
    </row>
    <row r="27" spans="1:15" ht="12.75" customHeight="1" x14ac:dyDescent="0.2">
      <c r="A27" s="160">
        <f>Productos!A11</f>
        <v>6</v>
      </c>
      <c r="B27" s="161" t="str">
        <f>Productos!B11</f>
        <v>Helado 2 litros con Fruta</v>
      </c>
      <c r="C27" s="158">
        <f>Produccion!D9*Consumos!$D13</f>
        <v>1200</v>
      </c>
      <c r="D27" s="158">
        <f>Produccion!E9*Consumos!$D13</f>
        <v>1200</v>
      </c>
      <c r="E27" s="158">
        <f>Produccion!F9*Consumos!$D13</f>
        <v>1350</v>
      </c>
      <c r="F27" s="158">
        <f>Produccion!G9*Consumos!$D13</f>
        <v>1500</v>
      </c>
      <c r="G27" s="158">
        <f>Produccion!H9*Consumos!$D13</f>
        <v>1500</v>
      </c>
      <c r="H27" s="158">
        <f>Produccion!I9*Consumos!$D13</f>
        <v>1200</v>
      </c>
      <c r="I27" s="158">
        <f>Produccion!J9*Consumos!$D13</f>
        <v>900</v>
      </c>
      <c r="J27" s="158">
        <f>Produccion!K9*Consumos!$D13</f>
        <v>1350</v>
      </c>
      <c r="K27" s="158">
        <f>Produccion!L9*Consumos!$D13</f>
        <v>900</v>
      </c>
      <c r="L27" s="158">
        <f>Produccion!M9*Consumos!$D13</f>
        <v>900</v>
      </c>
      <c r="M27" s="158">
        <f>Produccion!N9*Consumos!$D13</f>
        <v>1050</v>
      </c>
      <c r="N27" s="158">
        <f>Produccion!O9*Consumos!$D13</f>
        <v>1080</v>
      </c>
      <c r="O27" s="162">
        <f t="shared" si="0"/>
        <v>14130</v>
      </c>
    </row>
    <row r="28" spans="1:15" ht="12.75" customHeight="1" x14ac:dyDescent="0.2">
      <c r="A28" s="160">
        <f>Productos!A12</f>
        <v>7</v>
      </c>
      <c r="B28" s="161" t="str">
        <f>Productos!B12</f>
        <v>Helado 2 litros 2 sabores</v>
      </c>
      <c r="C28" s="158">
        <f>Produccion!D10*Consumos!$D14</f>
        <v>1200</v>
      </c>
      <c r="D28" s="158">
        <f>Produccion!E10*Consumos!$D14</f>
        <v>1200</v>
      </c>
      <c r="E28" s="158">
        <f>Produccion!F10*Consumos!$D14</f>
        <v>1200</v>
      </c>
      <c r="F28" s="158">
        <f>Produccion!G10*Consumos!$D14</f>
        <v>1050</v>
      </c>
      <c r="G28" s="158">
        <f>Produccion!H10*Consumos!$D14</f>
        <v>900</v>
      </c>
      <c r="H28" s="158">
        <f>Produccion!I10*Consumos!$D14</f>
        <v>1500</v>
      </c>
      <c r="I28" s="158">
        <f>Produccion!J10*Consumos!$D14</f>
        <v>1200</v>
      </c>
      <c r="J28" s="158">
        <f>Produccion!K10*Consumos!$D14</f>
        <v>900</v>
      </c>
      <c r="K28" s="158">
        <f>Produccion!L10*Consumos!$D14</f>
        <v>1200</v>
      </c>
      <c r="L28" s="158">
        <f>Produccion!M10*Consumos!$D14</f>
        <v>1500</v>
      </c>
      <c r="M28" s="158">
        <f>Produccion!N10*Consumos!$D14</f>
        <v>1200</v>
      </c>
      <c r="N28" s="158">
        <f>Produccion!O10*Consumos!$D14</f>
        <v>1200</v>
      </c>
      <c r="O28" s="162">
        <f t="shared" si="0"/>
        <v>14250</v>
      </c>
    </row>
    <row r="29" spans="1:15" ht="12.75" customHeight="1" x14ac:dyDescent="0.2">
      <c r="A29" s="160">
        <f>Productos!A13</f>
        <v>8</v>
      </c>
      <c r="B29" s="161" t="str">
        <f>Productos!B13</f>
        <v>Helado 1 litro liso</v>
      </c>
      <c r="C29" s="158">
        <f>Produccion!D11*Consumos!$D15</f>
        <v>300</v>
      </c>
      <c r="D29" s="158">
        <f>Produccion!E11*Consumos!$D15</f>
        <v>750</v>
      </c>
      <c r="E29" s="158">
        <f>Produccion!F11*Consumos!$D15</f>
        <v>750</v>
      </c>
      <c r="F29" s="158">
        <f>Produccion!G11*Consumos!$D15</f>
        <v>450</v>
      </c>
      <c r="G29" s="158">
        <f>Produccion!H11*Consumos!$D15</f>
        <v>600</v>
      </c>
      <c r="H29" s="158">
        <f>Produccion!I11*Consumos!$D15</f>
        <v>450</v>
      </c>
      <c r="I29" s="158">
        <f>Produccion!J11*Consumos!$D15</f>
        <v>675</v>
      </c>
      <c r="J29" s="158">
        <f>Produccion!K11*Consumos!$D15</f>
        <v>525</v>
      </c>
      <c r="K29" s="158">
        <f>Produccion!L11*Consumos!$D15</f>
        <v>525</v>
      </c>
      <c r="L29" s="158">
        <f>Produccion!M11*Consumos!$D15</f>
        <v>525</v>
      </c>
      <c r="M29" s="158">
        <f>Produccion!N11*Consumos!$D15</f>
        <v>600</v>
      </c>
      <c r="N29" s="158">
        <f>Produccion!O11*Consumos!$D15</f>
        <v>750</v>
      </c>
      <c r="O29" s="162">
        <f t="shared" si="0"/>
        <v>6900</v>
      </c>
    </row>
    <row r="30" spans="1:15" ht="12.75" customHeight="1" x14ac:dyDescent="0.2">
      <c r="A30" s="160">
        <f>Productos!A14</f>
        <v>9</v>
      </c>
      <c r="B30" s="161" t="str">
        <f>Productos!B14</f>
        <v>Helado 1 litro con Fruta</v>
      </c>
      <c r="C30" s="158">
        <f>Produccion!D12*Consumos!$D16</f>
        <v>375</v>
      </c>
      <c r="D30" s="158">
        <f>Produccion!E12*Consumos!$D16</f>
        <v>600</v>
      </c>
      <c r="E30" s="158">
        <f>Produccion!F12*Consumos!$D16</f>
        <v>600</v>
      </c>
      <c r="F30" s="158">
        <f>Produccion!G12*Consumos!$D16</f>
        <v>525</v>
      </c>
      <c r="G30" s="158">
        <f>Produccion!H12*Consumos!$D16</f>
        <v>600</v>
      </c>
      <c r="H30" s="158">
        <f>Produccion!I12*Consumos!$D16</f>
        <v>525</v>
      </c>
      <c r="I30" s="158">
        <f>Produccion!J12*Consumos!$D16</f>
        <v>450</v>
      </c>
      <c r="J30" s="158">
        <f>Produccion!K12*Consumos!$D16</f>
        <v>525</v>
      </c>
      <c r="K30" s="158">
        <f>Produccion!L12*Consumos!$D16</f>
        <v>675</v>
      </c>
      <c r="L30" s="158">
        <f>Produccion!M12*Consumos!$D16</f>
        <v>750</v>
      </c>
      <c r="M30" s="158">
        <f>Produccion!N12*Consumos!$D16</f>
        <v>600</v>
      </c>
      <c r="N30" s="158">
        <f>Produccion!O12*Consumos!$D16</f>
        <v>600</v>
      </c>
      <c r="O30" s="162">
        <f t="shared" si="0"/>
        <v>6825</v>
      </c>
    </row>
    <row r="31" spans="1:15" ht="13.5" customHeight="1" x14ac:dyDescent="0.2">
      <c r="A31" s="163">
        <f>Productos!A15</f>
        <v>10</v>
      </c>
      <c r="B31" s="164" t="str">
        <f>Productos!B15</f>
        <v>Helado 1 litro 2 sabores</v>
      </c>
      <c r="C31" s="165">
        <f>Produccion!D13*Consumos!$D17</f>
        <v>450</v>
      </c>
      <c r="D31" s="165">
        <f>Produccion!E13*Consumos!$D17</f>
        <v>675</v>
      </c>
      <c r="E31" s="165">
        <f>Produccion!F13*Consumos!$D17</f>
        <v>525</v>
      </c>
      <c r="F31" s="165">
        <f>Produccion!G13*Consumos!$D17</f>
        <v>525</v>
      </c>
      <c r="G31" s="165">
        <f>Produccion!H13*Consumos!$D17</f>
        <v>675</v>
      </c>
      <c r="H31" s="165">
        <f>Produccion!I13*Consumos!$D17</f>
        <v>600</v>
      </c>
      <c r="I31" s="165">
        <f>Produccion!J13*Consumos!$D17</f>
        <v>750</v>
      </c>
      <c r="J31" s="165">
        <f>Produccion!K13*Consumos!$D17</f>
        <v>600</v>
      </c>
      <c r="K31" s="165">
        <f>Produccion!L13*Consumos!$D17</f>
        <v>675</v>
      </c>
      <c r="L31" s="165">
        <f>Produccion!M13*Consumos!$D17</f>
        <v>600</v>
      </c>
      <c r="M31" s="165">
        <f>Produccion!N13*Consumos!$D17</f>
        <v>675</v>
      </c>
      <c r="N31" s="165">
        <f>Produccion!O13*Consumos!$D17</f>
        <v>675</v>
      </c>
      <c r="O31" s="166">
        <f t="shared" si="0"/>
        <v>7425</v>
      </c>
    </row>
    <row r="32" spans="1:15" ht="14.25" customHeight="1" x14ac:dyDescent="0.2">
      <c r="A32" s="25"/>
      <c r="B32" s="167" t="str">
        <f>"TOTALES "&amp;Productos!B21</f>
        <v>TOTALES Leche</v>
      </c>
      <c r="C32" s="168">
        <f t="shared" ref="C32:O32" si="1">SUM(C22:C31)</f>
        <v>30195</v>
      </c>
      <c r="D32" s="168">
        <f t="shared" si="1"/>
        <v>28045</v>
      </c>
      <c r="E32" s="168">
        <f t="shared" si="1"/>
        <v>23375</v>
      </c>
      <c r="F32" s="168">
        <f t="shared" si="1"/>
        <v>15460</v>
      </c>
      <c r="G32" s="168">
        <f t="shared" si="1"/>
        <v>12190</v>
      </c>
      <c r="H32" s="168">
        <f t="shared" si="1"/>
        <v>11465</v>
      </c>
      <c r="I32" s="168">
        <f t="shared" si="1"/>
        <v>8525</v>
      </c>
      <c r="J32" s="168">
        <f t="shared" si="1"/>
        <v>8450</v>
      </c>
      <c r="K32" s="168">
        <f t="shared" si="1"/>
        <v>16810</v>
      </c>
      <c r="L32" s="168">
        <f t="shared" si="1"/>
        <v>25440</v>
      </c>
      <c r="M32" s="168">
        <f t="shared" si="1"/>
        <v>32340</v>
      </c>
      <c r="N32" s="168">
        <f t="shared" si="1"/>
        <v>30772</v>
      </c>
      <c r="O32" s="169">
        <f t="shared" si="1"/>
        <v>243067</v>
      </c>
    </row>
    <row r="33" spans="1:15" ht="12.75" customHeight="1" x14ac:dyDescent="0.2"/>
    <row r="34" spans="1:15" ht="13.5" customHeight="1" x14ac:dyDescent="0.2"/>
    <row r="35" spans="1:15" ht="13.5" customHeight="1" x14ac:dyDescent="0.2">
      <c r="A35" s="12" t="s">
        <v>53</v>
      </c>
      <c r="B35" s="13" t="str">
        <f>"Necesidades de "&amp;Productos!E22</f>
        <v>Necesidades de Crema</v>
      </c>
      <c r="C35" s="14" t="str">
        <f>Ventas!$C$3</f>
        <v>Enero</v>
      </c>
      <c r="D35" s="14" t="str">
        <f>Ventas!$D$3</f>
        <v>Febrero</v>
      </c>
      <c r="E35" s="14" t="str">
        <f>Ventas!$E$3</f>
        <v>Marzo</v>
      </c>
      <c r="F35" s="14" t="str">
        <f>Ventas!$F$3</f>
        <v>Abril</v>
      </c>
      <c r="G35" s="14" t="str">
        <f>Ventas!$G$3</f>
        <v>Mayo</v>
      </c>
      <c r="H35" s="14" t="str">
        <f>Ventas!$H$3</f>
        <v>Junio</v>
      </c>
      <c r="I35" s="14" t="str">
        <f>Ventas!$I$3</f>
        <v>Julio</v>
      </c>
      <c r="J35" s="14" t="str">
        <f>Ventas!$J$3</f>
        <v>Agosto</v>
      </c>
      <c r="K35" s="14" t="str">
        <f>Ventas!$K$3</f>
        <v>Sept.</v>
      </c>
      <c r="L35" s="14" t="str">
        <f>Ventas!$L$3</f>
        <v>Oct.</v>
      </c>
      <c r="M35" s="14" t="str">
        <f>Ventas!$M$3</f>
        <v>Nov.</v>
      </c>
      <c r="N35" s="14" t="str">
        <f>Ventas!$N$3</f>
        <v>Dic.</v>
      </c>
      <c r="O35" s="155" t="s">
        <v>99</v>
      </c>
    </row>
    <row r="36" spans="1:15" ht="12.75" customHeight="1" x14ac:dyDescent="0.2">
      <c r="A36" s="170">
        <f>Productos!A6</f>
        <v>1</v>
      </c>
      <c r="B36" s="171" t="str">
        <f>Productos!B6</f>
        <v>Helado por 10 litros liso</v>
      </c>
      <c r="C36" s="158">
        <f>Produccion!D4*Consumos!$E8</f>
        <v>2400</v>
      </c>
      <c r="D36" s="158">
        <f>Produccion!E4*Consumos!$E8</f>
        <v>2000</v>
      </c>
      <c r="E36" s="158">
        <f>Produccion!F4*Consumos!$E8</f>
        <v>1600</v>
      </c>
      <c r="F36" s="158">
        <f>Produccion!G4*Consumos!$E8</f>
        <v>800</v>
      </c>
      <c r="G36" s="158">
        <f>Produccion!H4*Consumos!$E8</f>
        <v>500</v>
      </c>
      <c r="H36" s="158">
        <f>Produccion!I4*Consumos!$E8</f>
        <v>400</v>
      </c>
      <c r="I36" s="158">
        <f>Produccion!J4*Consumos!$E8</f>
        <v>400</v>
      </c>
      <c r="J36" s="158">
        <f>Produccion!K4*Consumos!$E8</f>
        <v>400</v>
      </c>
      <c r="K36" s="158">
        <f>Produccion!L4*Consumos!$E8</f>
        <v>1100</v>
      </c>
      <c r="L36" s="158">
        <f>Produccion!M4*Consumos!$E8</f>
        <v>1800</v>
      </c>
      <c r="M36" s="158">
        <f>Produccion!N4*Consumos!$E8</f>
        <v>2400</v>
      </c>
      <c r="N36" s="158">
        <f>Produccion!O4*Consumos!$E8</f>
        <v>1888</v>
      </c>
      <c r="O36" s="159">
        <f t="shared" ref="O36:O45" si="2">SUM(C36:N36)</f>
        <v>15688</v>
      </c>
    </row>
    <row r="37" spans="1:15" ht="12.75" customHeight="1" x14ac:dyDescent="0.2">
      <c r="A37" s="156">
        <f>Productos!A7</f>
        <v>2</v>
      </c>
      <c r="B37" s="171" t="str">
        <f>Productos!B7</f>
        <v>Helado por 10 litros con Fruta</v>
      </c>
      <c r="C37" s="158">
        <f>Produccion!D5*Consumos!$E9</f>
        <v>2400</v>
      </c>
      <c r="D37" s="158">
        <f>Produccion!E5*Consumos!$E9</f>
        <v>2000</v>
      </c>
      <c r="E37" s="158">
        <f>Produccion!F5*Consumos!$E9</f>
        <v>1600</v>
      </c>
      <c r="F37" s="158">
        <f>Produccion!G5*Consumos!$E9</f>
        <v>800</v>
      </c>
      <c r="G37" s="158">
        <f>Produccion!H5*Consumos!$E9</f>
        <v>500</v>
      </c>
      <c r="H37" s="158">
        <f>Produccion!I5*Consumos!$E9</f>
        <v>400</v>
      </c>
      <c r="I37" s="158">
        <f>Produccion!J5*Consumos!$E9</f>
        <v>400</v>
      </c>
      <c r="J37" s="158">
        <f>Produccion!K5*Consumos!$E9</f>
        <v>400</v>
      </c>
      <c r="K37" s="158">
        <f>Produccion!L5*Consumos!$E9</f>
        <v>1100</v>
      </c>
      <c r="L37" s="158">
        <f>Produccion!M5*Consumos!$E9</f>
        <v>1800</v>
      </c>
      <c r="M37" s="158">
        <f>Produccion!N5*Consumos!$E9</f>
        <v>2400</v>
      </c>
      <c r="N37" s="158">
        <f>Produccion!O5*Consumos!$E9</f>
        <v>2400</v>
      </c>
      <c r="O37" s="162">
        <f t="shared" si="2"/>
        <v>16200</v>
      </c>
    </row>
    <row r="38" spans="1:15" ht="12.75" customHeight="1" x14ac:dyDescent="0.2">
      <c r="A38" s="156">
        <f>Productos!A8</f>
        <v>3</v>
      </c>
      <c r="B38" s="171" t="str">
        <f>Productos!B8</f>
        <v>Helado por 5 litros</v>
      </c>
      <c r="C38" s="158">
        <f>Produccion!D6*Consumos!$E10</f>
        <v>400</v>
      </c>
      <c r="D38" s="158">
        <f>Produccion!E6*Consumos!$E10</f>
        <v>400</v>
      </c>
      <c r="E38" s="158">
        <f>Produccion!F6*Consumos!$E10</f>
        <v>300</v>
      </c>
      <c r="F38" s="158">
        <f>Produccion!G6*Consumos!$E10</f>
        <v>300</v>
      </c>
      <c r="G38" s="158">
        <f>Produccion!H6*Consumos!$E10</f>
        <v>225</v>
      </c>
      <c r="H38" s="158">
        <f>Produccion!I6*Consumos!$E10</f>
        <v>100</v>
      </c>
      <c r="I38" s="158">
        <f>Produccion!J6*Consumos!$E10</f>
        <v>0</v>
      </c>
      <c r="J38" s="158">
        <f>Produccion!K6*Consumos!$E10</f>
        <v>0</v>
      </c>
      <c r="K38" s="158">
        <f>Produccion!L6*Consumos!$E10</f>
        <v>175</v>
      </c>
      <c r="L38" s="158">
        <f>Produccion!M6*Consumos!$E10</f>
        <v>325</v>
      </c>
      <c r="M38" s="158">
        <f>Produccion!N6*Consumos!$E10</f>
        <v>475</v>
      </c>
      <c r="N38" s="158">
        <f>Produccion!O6*Consumos!$E10</f>
        <v>475</v>
      </c>
      <c r="O38" s="162">
        <f t="shared" si="2"/>
        <v>3175</v>
      </c>
    </row>
    <row r="39" spans="1:15" ht="12.75" customHeight="1" x14ac:dyDescent="0.2">
      <c r="A39" s="156">
        <f>Productos!A9</f>
        <v>4</v>
      </c>
      <c r="B39" s="171" t="str">
        <f>Productos!B9</f>
        <v>Balde 5 litros 2 sabores</v>
      </c>
      <c r="C39" s="158">
        <f>Produccion!D7*Consumos!$E11</f>
        <v>300</v>
      </c>
      <c r="D39" s="158">
        <f>Produccion!E7*Consumos!$E11</f>
        <v>300</v>
      </c>
      <c r="E39" s="158">
        <f>Produccion!F7*Consumos!$E11</f>
        <v>250</v>
      </c>
      <c r="F39" s="158">
        <f>Produccion!G7*Consumos!$E11</f>
        <v>150</v>
      </c>
      <c r="G39" s="158">
        <f>Produccion!H7*Consumos!$E11</f>
        <v>100</v>
      </c>
      <c r="H39" s="158">
        <f>Produccion!I7*Consumos!$E11</f>
        <v>225</v>
      </c>
      <c r="I39" s="158">
        <f>Produccion!J7*Consumos!$E11</f>
        <v>0</v>
      </c>
      <c r="J39" s="158">
        <f>Produccion!K7*Consumos!$E11</f>
        <v>0</v>
      </c>
      <c r="K39" s="158">
        <f>Produccion!L7*Consumos!$E11</f>
        <v>150</v>
      </c>
      <c r="L39" s="158">
        <f>Produccion!M7*Consumos!$E11</f>
        <v>350</v>
      </c>
      <c r="M39" s="158">
        <f>Produccion!N7*Consumos!$E11</f>
        <v>475</v>
      </c>
      <c r="N39" s="158">
        <f>Produccion!O7*Consumos!$E11</f>
        <v>475</v>
      </c>
      <c r="O39" s="162">
        <f t="shared" si="2"/>
        <v>2775</v>
      </c>
    </row>
    <row r="40" spans="1:15" ht="12.75" customHeight="1" x14ac:dyDescent="0.2">
      <c r="A40" s="156">
        <f>Productos!A10</f>
        <v>5</v>
      </c>
      <c r="B40" s="171" t="str">
        <f>Productos!B10</f>
        <v>Helado 2 litros liso</v>
      </c>
      <c r="C40" s="158">
        <f>Produccion!D8*Consumos!$E12</f>
        <v>450</v>
      </c>
      <c r="D40" s="158">
        <f>Produccion!E8*Consumos!$E12</f>
        <v>500</v>
      </c>
      <c r="E40" s="158">
        <f>Produccion!F8*Consumos!$E12</f>
        <v>450</v>
      </c>
      <c r="F40" s="158">
        <f>Produccion!G8*Consumos!$E12</f>
        <v>350</v>
      </c>
      <c r="G40" s="158">
        <f>Produccion!H8*Consumos!$E12</f>
        <v>350</v>
      </c>
      <c r="H40" s="158">
        <f>Produccion!I8*Consumos!$E12</f>
        <v>400</v>
      </c>
      <c r="I40" s="158">
        <f>Produccion!J8*Consumos!$E12</f>
        <v>450</v>
      </c>
      <c r="J40" s="158">
        <f>Produccion!K8*Consumos!$E12</f>
        <v>450</v>
      </c>
      <c r="K40" s="158">
        <f>Produccion!L8*Consumos!$E12</f>
        <v>400</v>
      </c>
      <c r="L40" s="158">
        <f>Produccion!M8*Consumos!$E12</f>
        <v>300</v>
      </c>
      <c r="M40" s="158">
        <f>Produccion!N8*Consumos!$E12</f>
        <v>250</v>
      </c>
      <c r="N40" s="158">
        <f>Produccion!O8*Consumos!$E12</f>
        <v>350</v>
      </c>
      <c r="O40" s="162">
        <f t="shared" si="2"/>
        <v>4700</v>
      </c>
    </row>
    <row r="41" spans="1:15" ht="12.75" customHeight="1" x14ac:dyDescent="0.2">
      <c r="A41" s="156">
        <f>Productos!A11</f>
        <v>6</v>
      </c>
      <c r="B41" s="171" t="str">
        <f>Productos!B11</f>
        <v>Helado 2 litros con Fruta</v>
      </c>
      <c r="C41" s="158">
        <f>Produccion!D9*Consumos!$E13</f>
        <v>400</v>
      </c>
      <c r="D41" s="158">
        <f>Produccion!E9*Consumos!$E13</f>
        <v>400</v>
      </c>
      <c r="E41" s="158">
        <f>Produccion!F9*Consumos!$E13</f>
        <v>450</v>
      </c>
      <c r="F41" s="158">
        <f>Produccion!G9*Consumos!$E13</f>
        <v>500</v>
      </c>
      <c r="G41" s="158">
        <f>Produccion!H9*Consumos!$E13</f>
        <v>500</v>
      </c>
      <c r="H41" s="158">
        <f>Produccion!I9*Consumos!$E13</f>
        <v>400</v>
      </c>
      <c r="I41" s="158">
        <f>Produccion!J9*Consumos!$E13</f>
        <v>300</v>
      </c>
      <c r="J41" s="158">
        <f>Produccion!K9*Consumos!$E13</f>
        <v>450</v>
      </c>
      <c r="K41" s="158">
        <f>Produccion!L9*Consumos!$E13</f>
        <v>300</v>
      </c>
      <c r="L41" s="158">
        <f>Produccion!M9*Consumos!$E13</f>
        <v>300</v>
      </c>
      <c r="M41" s="158">
        <f>Produccion!N9*Consumos!$E13</f>
        <v>350</v>
      </c>
      <c r="N41" s="158">
        <f>Produccion!O9*Consumos!$E13</f>
        <v>360</v>
      </c>
      <c r="O41" s="162">
        <f t="shared" si="2"/>
        <v>4710</v>
      </c>
    </row>
    <row r="42" spans="1:15" ht="12.75" customHeight="1" x14ac:dyDescent="0.2">
      <c r="A42" s="156">
        <f>Productos!A12</f>
        <v>7</v>
      </c>
      <c r="B42" s="171" t="str">
        <f>Productos!B12</f>
        <v>Helado 2 litros 2 sabores</v>
      </c>
      <c r="C42" s="158">
        <f>Produccion!D10*Consumos!$E14</f>
        <v>400</v>
      </c>
      <c r="D42" s="158">
        <f>Produccion!E10*Consumos!$E14</f>
        <v>400</v>
      </c>
      <c r="E42" s="158">
        <f>Produccion!F10*Consumos!$E14</f>
        <v>400</v>
      </c>
      <c r="F42" s="158">
        <f>Produccion!G10*Consumos!$E14</f>
        <v>350</v>
      </c>
      <c r="G42" s="158">
        <f>Produccion!H10*Consumos!$E14</f>
        <v>300</v>
      </c>
      <c r="H42" s="158">
        <f>Produccion!I10*Consumos!$E14</f>
        <v>500</v>
      </c>
      <c r="I42" s="158">
        <f>Produccion!J10*Consumos!$E14</f>
        <v>400</v>
      </c>
      <c r="J42" s="158">
        <f>Produccion!K10*Consumos!$E14</f>
        <v>300</v>
      </c>
      <c r="K42" s="158">
        <f>Produccion!L10*Consumos!$E14</f>
        <v>400</v>
      </c>
      <c r="L42" s="158">
        <f>Produccion!M10*Consumos!$E14</f>
        <v>500</v>
      </c>
      <c r="M42" s="158">
        <f>Produccion!N10*Consumos!$E14</f>
        <v>400</v>
      </c>
      <c r="N42" s="158">
        <f>Produccion!O10*Consumos!$E14</f>
        <v>400</v>
      </c>
      <c r="O42" s="162">
        <f t="shared" si="2"/>
        <v>4750</v>
      </c>
    </row>
    <row r="43" spans="1:15" ht="12.75" customHeight="1" x14ac:dyDescent="0.2">
      <c r="A43" s="156">
        <f>Productos!A13</f>
        <v>8</v>
      </c>
      <c r="B43" s="171" t="str">
        <f>Productos!B13</f>
        <v>Helado 1 litro liso</v>
      </c>
      <c r="C43" s="158">
        <f>Produccion!D11*Consumos!$E15</f>
        <v>100</v>
      </c>
      <c r="D43" s="158">
        <f>Produccion!E11*Consumos!$E15</f>
        <v>250</v>
      </c>
      <c r="E43" s="158">
        <f>Produccion!F11*Consumos!$E15</f>
        <v>250</v>
      </c>
      <c r="F43" s="158">
        <f>Produccion!G11*Consumos!$E15</f>
        <v>150</v>
      </c>
      <c r="G43" s="158">
        <f>Produccion!H11*Consumos!$E15</f>
        <v>200</v>
      </c>
      <c r="H43" s="158">
        <f>Produccion!I11*Consumos!$E15</f>
        <v>150</v>
      </c>
      <c r="I43" s="158">
        <f>Produccion!J11*Consumos!$E15</f>
        <v>225</v>
      </c>
      <c r="J43" s="158">
        <f>Produccion!K11*Consumos!$E15</f>
        <v>175</v>
      </c>
      <c r="K43" s="158">
        <f>Produccion!L11*Consumos!$E15</f>
        <v>175</v>
      </c>
      <c r="L43" s="158">
        <f>Produccion!M11*Consumos!$E15</f>
        <v>175</v>
      </c>
      <c r="M43" s="158">
        <f>Produccion!N11*Consumos!$E15</f>
        <v>200</v>
      </c>
      <c r="N43" s="158">
        <f>Produccion!O11*Consumos!$E15</f>
        <v>250</v>
      </c>
      <c r="O43" s="162">
        <f t="shared" si="2"/>
        <v>2300</v>
      </c>
    </row>
    <row r="44" spans="1:15" ht="12.75" customHeight="1" x14ac:dyDescent="0.2">
      <c r="A44" s="156">
        <f>Productos!A14</f>
        <v>9</v>
      </c>
      <c r="B44" s="171" t="str">
        <f>Productos!B14</f>
        <v>Helado 1 litro con Fruta</v>
      </c>
      <c r="C44" s="158">
        <f>Produccion!D12*Consumos!$E16</f>
        <v>125</v>
      </c>
      <c r="D44" s="158">
        <f>Produccion!E12*Consumos!$E16</f>
        <v>200</v>
      </c>
      <c r="E44" s="158">
        <f>Produccion!F12*Consumos!$E16</f>
        <v>200</v>
      </c>
      <c r="F44" s="158">
        <f>Produccion!G12*Consumos!$E16</f>
        <v>175</v>
      </c>
      <c r="G44" s="158">
        <f>Produccion!H12*Consumos!$E16</f>
        <v>200</v>
      </c>
      <c r="H44" s="158">
        <f>Produccion!I12*Consumos!$E16</f>
        <v>175</v>
      </c>
      <c r="I44" s="158">
        <f>Produccion!J12*Consumos!$E16</f>
        <v>150</v>
      </c>
      <c r="J44" s="158">
        <f>Produccion!K12*Consumos!$E16</f>
        <v>175</v>
      </c>
      <c r="K44" s="158">
        <f>Produccion!L12*Consumos!$E16</f>
        <v>225</v>
      </c>
      <c r="L44" s="158">
        <f>Produccion!M12*Consumos!$E16</f>
        <v>250</v>
      </c>
      <c r="M44" s="158">
        <f>Produccion!N12*Consumos!$E16</f>
        <v>200</v>
      </c>
      <c r="N44" s="158">
        <f>Produccion!O12*Consumos!$E16</f>
        <v>200</v>
      </c>
      <c r="O44" s="162">
        <f t="shared" si="2"/>
        <v>2275</v>
      </c>
    </row>
    <row r="45" spans="1:15" ht="13.5" customHeight="1" x14ac:dyDescent="0.2">
      <c r="A45" s="163">
        <f>Productos!A15</f>
        <v>10</v>
      </c>
      <c r="B45" s="172" t="str">
        <f>Productos!B15</f>
        <v>Helado 1 litro 2 sabores</v>
      </c>
      <c r="C45" s="165">
        <f>Produccion!D13*Consumos!$E17</f>
        <v>150</v>
      </c>
      <c r="D45" s="165">
        <f>Produccion!E13*Consumos!$E17</f>
        <v>225</v>
      </c>
      <c r="E45" s="165">
        <f>Produccion!F13*Consumos!$E17</f>
        <v>175</v>
      </c>
      <c r="F45" s="165">
        <f>Produccion!G13*Consumos!$E17</f>
        <v>175</v>
      </c>
      <c r="G45" s="165">
        <f>Produccion!H13*Consumos!$E17</f>
        <v>225</v>
      </c>
      <c r="H45" s="165">
        <f>Produccion!I13*Consumos!$E17</f>
        <v>200</v>
      </c>
      <c r="I45" s="165">
        <f>Produccion!J13*Consumos!$E17</f>
        <v>250</v>
      </c>
      <c r="J45" s="165">
        <f>Produccion!K13*Consumos!$E17</f>
        <v>200</v>
      </c>
      <c r="K45" s="165">
        <f>Produccion!L13*Consumos!$E17</f>
        <v>225</v>
      </c>
      <c r="L45" s="165">
        <f>Produccion!M13*Consumos!$E17</f>
        <v>200</v>
      </c>
      <c r="M45" s="165">
        <f>Produccion!N13*Consumos!$E17</f>
        <v>225</v>
      </c>
      <c r="N45" s="165">
        <f>Produccion!O13*Consumos!$E17</f>
        <v>225</v>
      </c>
      <c r="O45" s="166">
        <f t="shared" si="2"/>
        <v>2475</v>
      </c>
    </row>
    <row r="46" spans="1:15" ht="14.25" customHeight="1" x14ac:dyDescent="0.2">
      <c r="A46" s="25"/>
      <c r="B46" s="173" t="str">
        <f>"TOTALES "&amp;Productos!E22</f>
        <v>TOTALES Crema</v>
      </c>
      <c r="C46" s="168">
        <f t="shared" ref="C46:O46" si="3">SUM(C36:C45)</f>
        <v>7125</v>
      </c>
      <c r="D46" s="168">
        <f t="shared" si="3"/>
        <v>6675</v>
      </c>
      <c r="E46" s="168">
        <f t="shared" si="3"/>
        <v>5675</v>
      </c>
      <c r="F46" s="168">
        <f t="shared" si="3"/>
        <v>3750</v>
      </c>
      <c r="G46" s="168">
        <f t="shared" si="3"/>
        <v>3100</v>
      </c>
      <c r="H46" s="168">
        <f t="shared" si="3"/>
        <v>2950</v>
      </c>
      <c r="I46" s="168">
        <f t="shared" si="3"/>
        <v>2575</v>
      </c>
      <c r="J46" s="168">
        <f t="shared" si="3"/>
        <v>2550</v>
      </c>
      <c r="K46" s="168">
        <f t="shared" si="3"/>
        <v>4250</v>
      </c>
      <c r="L46" s="168">
        <f t="shared" si="3"/>
        <v>6000</v>
      </c>
      <c r="M46" s="168">
        <f t="shared" si="3"/>
        <v>7375</v>
      </c>
      <c r="N46" s="168">
        <f t="shared" si="3"/>
        <v>7023</v>
      </c>
      <c r="O46" s="169">
        <f t="shared" si="3"/>
        <v>59048</v>
      </c>
    </row>
    <row r="47" spans="1:15" ht="12.75" customHeight="1" x14ac:dyDescent="0.2"/>
    <row r="48" spans="1:15" ht="13.5" customHeight="1" x14ac:dyDescent="0.2"/>
    <row r="49" spans="1:15" ht="13.5" customHeight="1" x14ac:dyDescent="0.2">
      <c r="A49" s="12" t="s">
        <v>53</v>
      </c>
      <c r="B49" s="13" t="str">
        <f>"Necesidades de "&amp;Productos!E23</f>
        <v>Necesidades de Azucar</v>
      </c>
      <c r="C49" s="14" t="str">
        <f>Ventas!$C$3</f>
        <v>Enero</v>
      </c>
      <c r="D49" s="14" t="str">
        <f>Ventas!$D$3</f>
        <v>Febrero</v>
      </c>
      <c r="E49" s="14" t="str">
        <f>Ventas!$E$3</f>
        <v>Marzo</v>
      </c>
      <c r="F49" s="14" t="str">
        <f>Ventas!$F$3</f>
        <v>Abril</v>
      </c>
      <c r="G49" s="14" t="str">
        <f>Ventas!$G$3</f>
        <v>Mayo</v>
      </c>
      <c r="H49" s="14" t="str">
        <f>Ventas!$H$3</f>
        <v>Junio</v>
      </c>
      <c r="I49" s="14" t="str">
        <f>Ventas!$I$3</f>
        <v>Julio</v>
      </c>
      <c r="J49" s="14" t="str">
        <f>Ventas!$J$3</f>
        <v>Agosto</v>
      </c>
      <c r="K49" s="14" t="str">
        <f>Ventas!$K$3</f>
        <v>Sept.</v>
      </c>
      <c r="L49" s="14" t="str">
        <f>Ventas!$L$3</f>
        <v>Oct.</v>
      </c>
      <c r="M49" s="14" t="str">
        <f>Ventas!$M$3</f>
        <v>Nov.</v>
      </c>
      <c r="N49" s="14" t="str">
        <f>Ventas!$N$3</f>
        <v>Dic.</v>
      </c>
      <c r="O49" s="155" t="s">
        <v>99</v>
      </c>
    </row>
    <row r="50" spans="1:15" ht="12.75" customHeight="1" x14ac:dyDescent="0.2">
      <c r="A50" s="170">
        <f>Productos!A6</f>
        <v>1</v>
      </c>
      <c r="B50" s="174" t="str">
        <f>Productos!B6</f>
        <v>Helado por 10 litros liso</v>
      </c>
      <c r="C50" s="158">
        <f>Produccion!D4*Consumos!$F8</f>
        <v>4800</v>
      </c>
      <c r="D50" s="158">
        <f>Produccion!E4*Consumos!$F8</f>
        <v>4000</v>
      </c>
      <c r="E50" s="158">
        <f>Produccion!F4*Consumos!$F8</f>
        <v>3200</v>
      </c>
      <c r="F50" s="158">
        <f>Produccion!G4*Consumos!$F8</f>
        <v>1600</v>
      </c>
      <c r="G50" s="158">
        <f>Produccion!H4*Consumos!$F8</f>
        <v>1000</v>
      </c>
      <c r="H50" s="158">
        <f>Produccion!I4*Consumos!$F8</f>
        <v>800</v>
      </c>
      <c r="I50" s="158">
        <f>Produccion!J4*Consumos!$F8</f>
        <v>800</v>
      </c>
      <c r="J50" s="158">
        <f>Produccion!K4*Consumos!$F8</f>
        <v>800</v>
      </c>
      <c r="K50" s="158">
        <f>Produccion!L4*Consumos!$F8</f>
        <v>2200</v>
      </c>
      <c r="L50" s="158">
        <f>Produccion!M4*Consumos!$F8</f>
        <v>3600</v>
      </c>
      <c r="M50" s="158">
        <f>Produccion!N4*Consumos!$F8</f>
        <v>4800</v>
      </c>
      <c r="N50" s="158">
        <f>Produccion!O4*Consumos!$F8</f>
        <v>3776</v>
      </c>
      <c r="O50" s="159">
        <f t="shared" ref="O50:O59" si="4">SUM(C50:N50)</f>
        <v>31376</v>
      </c>
    </row>
    <row r="51" spans="1:15" ht="12.75" customHeight="1" x14ac:dyDescent="0.2">
      <c r="A51" s="160">
        <f>Productos!A7</f>
        <v>2</v>
      </c>
      <c r="B51" s="161" t="str">
        <f>Productos!B7</f>
        <v>Helado por 10 litros con Fruta</v>
      </c>
      <c r="C51" s="158">
        <f>Produccion!D5*Consumos!$F9</f>
        <v>4800</v>
      </c>
      <c r="D51" s="158">
        <f>Produccion!E5*Consumos!$F9</f>
        <v>4000</v>
      </c>
      <c r="E51" s="158">
        <f>Produccion!F5*Consumos!$F9</f>
        <v>3200</v>
      </c>
      <c r="F51" s="158">
        <f>Produccion!G5*Consumos!$F9</f>
        <v>1600</v>
      </c>
      <c r="G51" s="158">
        <f>Produccion!H5*Consumos!$F9</f>
        <v>1000</v>
      </c>
      <c r="H51" s="158">
        <f>Produccion!I5*Consumos!$F9</f>
        <v>800</v>
      </c>
      <c r="I51" s="158">
        <f>Produccion!J5*Consumos!$F9</f>
        <v>800</v>
      </c>
      <c r="J51" s="158">
        <f>Produccion!K5*Consumos!$F9</f>
        <v>800</v>
      </c>
      <c r="K51" s="158">
        <f>Produccion!L5*Consumos!$F9</f>
        <v>2200</v>
      </c>
      <c r="L51" s="158">
        <f>Produccion!M5*Consumos!$F9</f>
        <v>3600</v>
      </c>
      <c r="M51" s="158">
        <f>Produccion!N5*Consumos!$F9</f>
        <v>4800</v>
      </c>
      <c r="N51" s="158">
        <f>Produccion!O5*Consumos!$F9</f>
        <v>4800</v>
      </c>
      <c r="O51" s="162">
        <f t="shared" si="4"/>
        <v>32400</v>
      </c>
    </row>
    <row r="52" spans="1:15" ht="12.75" customHeight="1" x14ac:dyDescent="0.2">
      <c r="A52" s="160">
        <f>Productos!A8</f>
        <v>3</v>
      </c>
      <c r="B52" s="161" t="str">
        <f>Productos!B8</f>
        <v>Helado por 5 litros</v>
      </c>
      <c r="C52" s="158">
        <f>Produccion!D6*Consumos!$F10</f>
        <v>1600</v>
      </c>
      <c r="D52" s="158">
        <f>Produccion!E6*Consumos!$F10</f>
        <v>1600</v>
      </c>
      <c r="E52" s="158">
        <f>Produccion!F6*Consumos!$F10</f>
        <v>1200</v>
      </c>
      <c r="F52" s="158">
        <f>Produccion!G6*Consumos!$F10</f>
        <v>1200</v>
      </c>
      <c r="G52" s="158">
        <f>Produccion!H6*Consumos!$F10</f>
        <v>900</v>
      </c>
      <c r="H52" s="158">
        <f>Produccion!I6*Consumos!$F10</f>
        <v>400</v>
      </c>
      <c r="I52" s="158">
        <f>Produccion!J6*Consumos!$F10</f>
        <v>0</v>
      </c>
      <c r="J52" s="158">
        <f>Produccion!K6*Consumos!$F10</f>
        <v>0</v>
      </c>
      <c r="K52" s="158">
        <f>Produccion!L6*Consumos!$F10</f>
        <v>700</v>
      </c>
      <c r="L52" s="158">
        <f>Produccion!M6*Consumos!$F10</f>
        <v>1300</v>
      </c>
      <c r="M52" s="158">
        <f>Produccion!N6*Consumos!$F10</f>
        <v>1900</v>
      </c>
      <c r="N52" s="158">
        <f>Produccion!O6*Consumos!$F10</f>
        <v>1900</v>
      </c>
      <c r="O52" s="162">
        <f t="shared" si="4"/>
        <v>12700</v>
      </c>
    </row>
    <row r="53" spans="1:15" ht="12.75" customHeight="1" x14ac:dyDescent="0.2">
      <c r="A53" s="160">
        <f>Productos!A9</f>
        <v>4</v>
      </c>
      <c r="B53" s="161" t="str">
        <f>Productos!B9</f>
        <v>Balde 5 litros 2 sabores</v>
      </c>
      <c r="C53" s="158">
        <f>Produccion!D7*Consumos!$F11</f>
        <v>1200</v>
      </c>
      <c r="D53" s="158">
        <f>Produccion!E7*Consumos!$F11</f>
        <v>1200</v>
      </c>
      <c r="E53" s="158">
        <f>Produccion!F7*Consumos!$F11</f>
        <v>1000</v>
      </c>
      <c r="F53" s="158">
        <f>Produccion!G7*Consumos!$F11</f>
        <v>600</v>
      </c>
      <c r="G53" s="158">
        <f>Produccion!H7*Consumos!$F11</f>
        <v>400</v>
      </c>
      <c r="H53" s="158">
        <f>Produccion!I7*Consumos!$F11</f>
        <v>900</v>
      </c>
      <c r="I53" s="158">
        <f>Produccion!J7*Consumos!$F11</f>
        <v>0</v>
      </c>
      <c r="J53" s="158">
        <f>Produccion!K7*Consumos!$F11</f>
        <v>0</v>
      </c>
      <c r="K53" s="158">
        <f>Produccion!L7*Consumos!$F11</f>
        <v>600</v>
      </c>
      <c r="L53" s="158">
        <f>Produccion!M7*Consumos!$F11</f>
        <v>1400</v>
      </c>
      <c r="M53" s="158">
        <f>Produccion!N7*Consumos!$F11</f>
        <v>1900</v>
      </c>
      <c r="N53" s="158">
        <f>Produccion!O7*Consumos!$F11</f>
        <v>1900</v>
      </c>
      <c r="O53" s="162">
        <f t="shared" si="4"/>
        <v>11100</v>
      </c>
    </row>
    <row r="54" spans="1:15" ht="12.75" customHeight="1" x14ac:dyDescent="0.2">
      <c r="A54" s="160">
        <f>Productos!A10</f>
        <v>5</v>
      </c>
      <c r="B54" s="161" t="str">
        <f>Productos!B10</f>
        <v>Helado 2 litros liso</v>
      </c>
      <c r="C54" s="158">
        <f>Produccion!D8*Consumos!$F12</f>
        <v>900</v>
      </c>
      <c r="D54" s="158">
        <f>Produccion!E8*Consumos!$F12</f>
        <v>1000</v>
      </c>
      <c r="E54" s="158">
        <f>Produccion!F8*Consumos!$F12</f>
        <v>900</v>
      </c>
      <c r="F54" s="158">
        <f>Produccion!G8*Consumos!$F12</f>
        <v>700</v>
      </c>
      <c r="G54" s="158">
        <f>Produccion!H8*Consumos!$F12</f>
        <v>700</v>
      </c>
      <c r="H54" s="158">
        <f>Produccion!I8*Consumos!$F12</f>
        <v>800</v>
      </c>
      <c r="I54" s="158">
        <f>Produccion!J8*Consumos!$F12</f>
        <v>900</v>
      </c>
      <c r="J54" s="158">
        <f>Produccion!K8*Consumos!$F12</f>
        <v>900</v>
      </c>
      <c r="K54" s="158">
        <f>Produccion!L8*Consumos!$F12</f>
        <v>800</v>
      </c>
      <c r="L54" s="158">
        <f>Produccion!M8*Consumos!$F12</f>
        <v>600</v>
      </c>
      <c r="M54" s="158">
        <f>Produccion!N8*Consumos!$F12</f>
        <v>500</v>
      </c>
      <c r="N54" s="158">
        <f>Produccion!O8*Consumos!$F12</f>
        <v>700</v>
      </c>
      <c r="O54" s="162">
        <f t="shared" si="4"/>
        <v>9400</v>
      </c>
    </row>
    <row r="55" spans="1:15" ht="12.75" customHeight="1" x14ac:dyDescent="0.2">
      <c r="A55" s="160">
        <f>Productos!A11</f>
        <v>6</v>
      </c>
      <c r="B55" s="161" t="str">
        <f>Productos!B11</f>
        <v>Helado 2 litros con Fruta</v>
      </c>
      <c r="C55" s="158">
        <f>Produccion!D9*Consumos!$F13</f>
        <v>800</v>
      </c>
      <c r="D55" s="158">
        <f>Produccion!E9*Consumos!$F13</f>
        <v>800</v>
      </c>
      <c r="E55" s="158">
        <f>Produccion!F9*Consumos!$F13</f>
        <v>900</v>
      </c>
      <c r="F55" s="158">
        <f>Produccion!G9*Consumos!$F13</f>
        <v>1000</v>
      </c>
      <c r="G55" s="158">
        <f>Produccion!H9*Consumos!$F13</f>
        <v>1000</v>
      </c>
      <c r="H55" s="158">
        <f>Produccion!I9*Consumos!$F13</f>
        <v>800</v>
      </c>
      <c r="I55" s="158">
        <f>Produccion!J9*Consumos!$F13</f>
        <v>600</v>
      </c>
      <c r="J55" s="158">
        <f>Produccion!K9*Consumos!$F13</f>
        <v>900</v>
      </c>
      <c r="K55" s="158">
        <f>Produccion!L9*Consumos!$F13</f>
        <v>600</v>
      </c>
      <c r="L55" s="158">
        <f>Produccion!M9*Consumos!$F13</f>
        <v>600</v>
      </c>
      <c r="M55" s="158">
        <f>Produccion!N9*Consumos!$F13</f>
        <v>700</v>
      </c>
      <c r="N55" s="158">
        <f>Produccion!O9*Consumos!$F13</f>
        <v>720</v>
      </c>
      <c r="O55" s="162">
        <f t="shared" si="4"/>
        <v>9420</v>
      </c>
    </row>
    <row r="56" spans="1:15" ht="12.75" customHeight="1" x14ac:dyDescent="0.2">
      <c r="A56" s="160">
        <f>Productos!A12</f>
        <v>7</v>
      </c>
      <c r="B56" s="161" t="str">
        <f>Productos!B12</f>
        <v>Helado 2 litros 2 sabores</v>
      </c>
      <c r="C56" s="158">
        <f>Produccion!D10*Consumos!$F14</f>
        <v>800</v>
      </c>
      <c r="D56" s="158">
        <f>Produccion!E10*Consumos!$F14</f>
        <v>800</v>
      </c>
      <c r="E56" s="158">
        <f>Produccion!F10*Consumos!$F14</f>
        <v>800</v>
      </c>
      <c r="F56" s="158">
        <f>Produccion!G10*Consumos!$F14</f>
        <v>700</v>
      </c>
      <c r="G56" s="158">
        <f>Produccion!H10*Consumos!$F14</f>
        <v>600</v>
      </c>
      <c r="H56" s="158">
        <f>Produccion!I10*Consumos!$F14</f>
        <v>1000</v>
      </c>
      <c r="I56" s="158">
        <f>Produccion!J10*Consumos!$F14</f>
        <v>800</v>
      </c>
      <c r="J56" s="158">
        <f>Produccion!K10*Consumos!$F14</f>
        <v>600</v>
      </c>
      <c r="K56" s="158">
        <f>Produccion!L10*Consumos!$F14</f>
        <v>800</v>
      </c>
      <c r="L56" s="158">
        <f>Produccion!M10*Consumos!$F14</f>
        <v>1000</v>
      </c>
      <c r="M56" s="158">
        <f>Produccion!N10*Consumos!$F14</f>
        <v>800</v>
      </c>
      <c r="N56" s="158">
        <f>Produccion!O10*Consumos!$F14</f>
        <v>800</v>
      </c>
      <c r="O56" s="162">
        <f t="shared" si="4"/>
        <v>9500</v>
      </c>
    </row>
    <row r="57" spans="1:15" ht="12.75" customHeight="1" x14ac:dyDescent="0.2">
      <c r="A57" s="160">
        <f>Productos!A13</f>
        <v>8</v>
      </c>
      <c r="B57" s="161" t="str">
        <f>Productos!B13</f>
        <v>Helado 1 litro liso</v>
      </c>
      <c r="C57" s="158">
        <f>Produccion!D11*Consumos!$F15</f>
        <v>200</v>
      </c>
      <c r="D57" s="158">
        <f>Produccion!E11*Consumos!$F15</f>
        <v>500</v>
      </c>
      <c r="E57" s="158">
        <f>Produccion!F11*Consumos!$F15</f>
        <v>500</v>
      </c>
      <c r="F57" s="158">
        <f>Produccion!G11*Consumos!$F15</f>
        <v>300</v>
      </c>
      <c r="G57" s="158">
        <f>Produccion!H11*Consumos!$F15</f>
        <v>400</v>
      </c>
      <c r="H57" s="158">
        <f>Produccion!I11*Consumos!$F15</f>
        <v>300</v>
      </c>
      <c r="I57" s="158">
        <f>Produccion!J11*Consumos!$F15</f>
        <v>450</v>
      </c>
      <c r="J57" s="158">
        <f>Produccion!K11*Consumos!$F15</f>
        <v>350</v>
      </c>
      <c r="K57" s="158">
        <f>Produccion!L11*Consumos!$F15</f>
        <v>350</v>
      </c>
      <c r="L57" s="158">
        <f>Produccion!M11*Consumos!$F15</f>
        <v>350</v>
      </c>
      <c r="M57" s="158">
        <f>Produccion!N11*Consumos!$F15</f>
        <v>400</v>
      </c>
      <c r="N57" s="158">
        <f>Produccion!O11*Consumos!$F15</f>
        <v>500</v>
      </c>
      <c r="O57" s="162">
        <f t="shared" si="4"/>
        <v>4600</v>
      </c>
    </row>
    <row r="58" spans="1:15" ht="12.75" customHeight="1" x14ac:dyDescent="0.2">
      <c r="A58" s="160">
        <f>Productos!A14</f>
        <v>9</v>
      </c>
      <c r="B58" s="161" t="str">
        <f>Productos!B14</f>
        <v>Helado 1 litro con Fruta</v>
      </c>
      <c r="C58" s="158">
        <f>Produccion!D12*Consumos!$F16</f>
        <v>250</v>
      </c>
      <c r="D58" s="158">
        <f>Produccion!E12*Consumos!$F16</f>
        <v>400</v>
      </c>
      <c r="E58" s="158">
        <f>Produccion!F12*Consumos!$F16</f>
        <v>400</v>
      </c>
      <c r="F58" s="158">
        <f>Produccion!G12*Consumos!$F16</f>
        <v>350</v>
      </c>
      <c r="G58" s="158">
        <f>Produccion!H12*Consumos!$F16</f>
        <v>400</v>
      </c>
      <c r="H58" s="158">
        <f>Produccion!I12*Consumos!$F16</f>
        <v>350</v>
      </c>
      <c r="I58" s="158">
        <f>Produccion!J12*Consumos!$F16</f>
        <v>300</v>
      </c>
      <c r="J58" s="158">
        <f>Produccion!K12*Consumos!$F16</f>
        <v>350</v>
      </c>
      <c r="K58" s="158">
        <f>Produccion!L12*Consumos!$F16</f>
        <v>450</v>
      </c>
      <c r="L58" s="158">
        <f>Produccion!M12*Consumos!$F16</f>
        <v>500</v>
      </c>
      <c r="M58" s="158">
        <f>Produccion!N12*Consumos!$F16</f>
        <v>400</v>
      </c>
      <c r="N58" s="158">
        <f>Produccion!O12*Consumos!$F16</f>
        <v>400</v>
      </c>
      <c r="O58" s="162">
        <f t="shared" si="4"/>
        <v>4550</v>
      </c>
    </row>
    <row r="59" spans="1:15" ht="13.5" customHeight="1" x14ac:dyDescent="0.2">
      <c r="A59" s="163">
        <f>Productos!A15</f>
        <v>10</v>
      </c>
      <c r="B59" s="164" t="str">
        <f>Productos!B15</f>
        <v>Helado 1 litro 2 sabores</v>
      </c>
      <c r="C59" s="165">
        <f>Produccion!D13*Consumos!$F17</f>
        <v>300</v>
      </c>
      <c r="D59" s="165">
        <f>Produccion!E13*Consumos!$F17</f>
        <v>450</v>
      </c>
      <c r="E59" s="165">
        <f>Produccion!F13*Consumos!$F17</f>
        <v>350</v>
      </c>
      <c r="F59" s="165">
        <f>Produccion!G13*Consumos!$F17</f>
        <v>350</v>
      </c>
      <c r="G59" s="165">
        <f>Produccion!H13*Consumos!$F17</f>
        <v>450</v>
      </c>
      <c r="H59" s="165">
        <f>Produccion!I13*Consumos!$F17</f>
        <v>400</v>
      </c>
      <c r="I59" s="165">
        <f>Produccion!J13*Consumos!$F17</f>
        <v>500</v>
      </c>
      <c r="J59" s="165">
        <f>Produccion!K13*Consumos!$F17</f>
        <v>400</v>
      </c>
      <c r="K59" s="165">
        <f>Produccion!L13*Consumos!$F17</f>
        <v>450</v>
      </c>
      <c r="L59" s="165">
        <f>Produccion!M13*Consumos!$F17</f>
        <v>400</v>
      </c>
      <c r="M59" s="165">
        <f>Produccion!N13*Consumos!$F17</f>
        <v>450</v>
      </c>
      <c r="N59" s="165">
        <f>Produccion!O13*Consumos!$F17</f>
        <v>450</v>
      </c>
      <c r="O59" s="166">
        <f t="shared" si="4"/>
        <v>4950</v>
      </c>
    </row>
    <row r="60" spans="1:15" ht="14.25" customHeight="1" x14ac:dyDescent="0.2">
      <c r="A60" s="25"/>
      <c r="B60" s="173" t="str">
        <f>"TOTALES "&amp;Productos!E23</f>
        <v>TOTALES Azucar</v>
      </c>
      <c r="C60" s="168">
        <f t="shared" ref="C60:O60" si="5">SUM(C50:C59)</f>
        <v>15650</v>
      </c>
      <c r="D60" s="168">
        <f t="shared" si="5"/>
        <v>14750</v>
      </c>
      <c r="E60" s="168">
        <f t="shared" si="5"/>
        <v>12450</v>
      </c>
      <c r="F60" s="168">
        <f t="shared" si="5"/>
        <v>8400</v>
      </c>
      <c r="G60" s="168">
        <f t="shared" si="5"/>
        <v>6850</v>
      </c>
      <c r="H60" s="168">
        <f t="shared" si="5"/>
        <v>6550</v>
      </c>
      <c r="I60" s="168">
        <f t="shared" si="5"/>
        <v>5150</v>
      </c>
      <c r="J60" s="168">
        <f t="shared" si="5"/>
        <v>5100</v>
      </c>
      <c r="K60" s="168">
        <f t="shared" si="5"/>
        <v>9150</v>
      </c>
      <c r="L60" s="168">
        <f t="shared" si="5"/>
        <v>13350</v>
      </c>
      <c r="M60" s="168">
        <f t="shared" si="5"/>
        <v>16650</v>
      </c>
      <c r="N60" s="168">
        <f t="shared" si="5"/>
        <v>15946</v>
      </c>
      <c r="O60" s="169">
        <f t="shared" si="5"/>
        <v>129996</v>
      </c>
    </row>
    <row r="61" spans="1:15" ht="12.75" customHeight="1" x14ac:dyDescent="0.2"/>
    <row r="62" spans="1:15" ht="13.5" customHeight="1" x14ac:dyDescent="0.2"/>
    <row r="63" spans="1:15" ht="13.5" customHeight="1" x14ac:dyDescent="0.2">
      <c r="A63" s="12" t="s">
        <v>53</v>
      </c>
      <c r="B63" s="13" t="str">
        <f>"Necesidades de "&amp;Productos!E24</f>
        <v>Necesidades de Fruta</v>
      </c>
      <c r="C63" s="14" t="str">
        <f>Ventas!$C$3</f>
        <v>Enero</v>
      </c>
      <c r="D63" s="14" t="str">
        <f>Ventas!$D$3</f>
        <v>Febrero</v>
      </c>
      <c r="E63" s="14" t="str">
        <f>Ventas!$E$3</f>
        <v>Marzo</v>
      </c>
      <c r="F63" s="14" t="str">
        <f>Ventas!$F$3</f>
        <v>Abril</v>
      </c>
      <c r="G63" s="14" t="str">
        <f>Ventas!$G$3</f>
        <v>Mayo</v>
      </c>
      <c r="H63" s="14" t="str">
        <f>Ventas!$H$3</f>
        <v>Junio</v>
      </c>
      <c r="I63" s="14" t="str">
        <f>Ventas!$I$3</f>
        <v>Julio</v>
      </c>
      <c r="J63" s="14" t="str">
        <f>Ventas!$J$3</f>
        <v>Agosto</v>
      </c>
      <c r="K63" s="14" t="str">
        <f>Ventas!$K$3</f>
        <v>Sept.</v>
      </c>
      <c r="L63" s="14" t="str">
        <f>Ventas!$L$3</f>
        <v>Oct.</v>
      </c>
      <c r="M63" s="14" t="str">
        <f>Ventas!$M$3</f>
        <v>Nov.</v>
      </c>
      <c r="N63" s="14" t="str">
        <f>Ventas!$N$3</f>
        <v>Dic.</v>
      </c>
      <c r="O63" s="155" t="s">
        <v>99</v>
      </c>
    </row>
    <row r="64" spans="1:15" ht="12.75" customHeight="1" x14ac:dyDescent="0.2">
      <c r="A64" s="170">
        <f>Productos!A6</f>
        <v>1</v>
      </c>
      <c r="B64" s="175" t="str">
        <f>Productos!B6</f>
        <v>Helado por 10 litros liso</v>
      </c>
      <c r="C64" s="158">
        <f>Produccion!D4*Consumos!$G8</f>
        <v>0</v>
      </c>
      <c r="D64" s="158">
        <f>Produccion!E4*Consumos!$G8</f>
        <v>0</v>
      </c>
      <c r="E64" s="158">
        <f>Produccion!F4*Consumos!$G8</f>
        <v>0</v>
      </c>
      <c r="F64" s="158">
        <f>Produccion!G4*Consumos!$G8</f>
        <v>0</v>
      </c>
      <c r="G64" s="158">
        <f>Produccion!H4*Consumos!$G8</f>
        <v>0</v>
      </c>
      <c r="H64" s="158">
        <f>Produccion!I4*Consumos!$G8</f>
        <v>0</v>
      </c>
      <c r="I64" s="158">
        <f>Produccion!J4*Consumos!$G8</f>
        <v>0</v>
      </c>
      <c r="J64" s="158">
        <f>Produccion!K4*Consumos!$G8</f>
        <v>0</v>
      </c>
      <c r="K64" s="158">
        <f>Produccion!L4*Consumos!$G8</f>
        <v>0</v>
      </c>
      <c r="L64" s="158">
        <f>Produccion!M4*Consumos!$G8</f>
        <v>0</v>
      </c>
      <c r="M64" s="158">
        <f>Produccion!N4*Consumos!$G8</f>
        <v>0</v>
      </c>
      <c r="N64" s="158">
        <f>Produccion!O4*Consumos!$G8</f>
        <v>0</v>
      </c>
      <c r="O64" s="159">
        <f t="shared" ref="O64:O73" si="6">SUM(C64:N64)</f>
        <v>0</v>
      </c>
    </row>
    <row r="65" spans="1:15" ht="12.75" customHeight="1" x14ac:dyDescent="0.2">
      <c r="A65" s="160">
        <f>Productos!A7</f>
        <v>2</v>
      </c>
      <c r="B65" s="176" t="str">
        <f>Productos!B7</f>
        <v>Helado por 10 litros con Fruta</v>
      </c>
      <c r="C65" s="158">
        <f>Produccion!D5*Consumos!$G9</f>
        <v>2400</v>
      </c>
      <c r="D65" s="158">
        <f>Produccion!E5*Consumos!$G9</f>
        <v>2000</v>
      </c>
      <c r="E65" s="158">
        <f>Produccion!F5*Consumos!$G9</f>
        <v>1600</v>
      </c>
      <c r="F65" s="158">
        <f>Produccion!G5*Consumos!$G9</f>
        <v>800</v>
      </c>
      <c r="G65" s="158">
        <f>Produccion!H5*Consumos!$G9</f>
        <v>500</v>
      </c>
      <c r="H65" s="158">
        <f>Produccion!I5*Consumos!$G9</f>
        <v>400</v>
      </c>
      <c r="I65" s="158">
        <f>Produccion!J5*Consumos!$G9</f>
        <v>400</v>
      </c>
      <c r="J65" s="158">
        <f>Produccion!K5*Consumos!$G9</f>
        <v>400</v>
      </c>
      <c r="K65" s="158">
        <f>Produccion!L5*Consumos!$G9</f>
        <v>1100</v>
      </c>
      <c r="L65" s="158">
        <f>Produccion!M5*Consumos!$G9</f>
        <v>1800</v>
      </c>
      <c r="M65" s="158">
        <f>Produccion!N5*Consumos!$G9</f>
        <v>2400</v>
      </c>
      <c r="N65" s="158">
        <f>Produccion!O5*Consumos!$G9</f>
        <v>2400</v>
      </c>
      <c r="O65" s="162">
        <f t="shared" si="6"/>
        <v>16200</v>
      </c>
    </row>
    <row r="66" spans="1:15" ht="12.75" customHeight="1" x14ac:dyDescent="0.2">
      <c r="A66" s="160">
        <f>Productos!A8</f>
        <v>3</v>
      </c>
      <c r="B66" s="176" t="str">
        <f>Productos!B8</f>
        <v>Helado por 5 litros</v>
      </c>
      <c r="C66" s="158">
        <f>Produccion!D6*Consumos!$G10</f>
        <v>0</v>
      </c>
      <c r="D66" s="158">
        <f>Produccion!E6*Consumos!$G10</f>
        <v>0</v>
      </c>
      <c r="E66" s="158">
        <f>Produccion!F6*Consumos!$G10</f>
        <v>0</v>
      </c>
      <c r="F66" s="158">
        <f>Produccion!G6*Consumos!$G10</f>
        <v>0</v>
      </c>
      <c r="G66" s="158">
        <f>Produccion!H6*Consumos!$G10</f>
        <v>0</v>
      </c>
      <c r="H66" s="158">
        <f>Produccion!I6*Consumos!$G10</f>
        <v>0</v>
      </c>
      <c r="I66" s="158">
        <f>Produccion!J6*Consumos!$G10</f>
        <v>0</v>
      </c>
      <c r="J66" s="158">
        <f>Produccion!K6*Consumos!$G10</f>
        <v>0</v>
      </c>
      <c r="K66" s="158">
        <f>Produccion!L6*Consumos!$G10</f>
        <v>0</v>
      </c>
      <c r="L66" s="158">
        <f>Produccion!M6*Consumos!$G10</f>
        <v>0</v>
      </c>
      <c r="M66" s="158">
        <f>Produccion!N6*Consumos!$G10</f>
        <v>0</v>
      </c>
      <c r="N66" s="158">
        <f>Produccion!O6*Consumos!$G10</f>
        <v>0</v>
      </c>
      <c r="O66" s="162">
        <f t="shared" si="6"/>
        <v>0</v>
      </c>
    </row>
    <row r="67" spans="1:15" ht="12.75" customHeight="1" x14ac:dyDescent="0.2">
      <c r="A67" s="160">
        <f>Productos!A9</f>
        <v>4</v>
      </c>
      <c r="B67" s="176" t="str">
        <f>Productos!B9</f>
        <v>Balde 5 litros 2 sabores</v>
      </c>
      <c r="C67" s="158">
        <f>Produccion!D7*Consumos!$G11</f>
        <v>0</v>
      </c>
      <c r="D67" s="158">
        <f>Produccion!E7*Consumos!$G11</f>
        <v>0</v>
      </c>
      <c r="E67" s="158">
        <f>Produccion!F7*Consumos!$G11</f>
        <v>0</v>
      </c>
      <c r="F67" s="158">
        <f>Produccion!G7*Consumos!$G11</f>
        <v>0</v>
      </c>
      <c r="G67" s="158">
        <f>Produccion!H7*Consumos!$G11</f>
        <v>0</v>
      </c>
      <c r="H67" s="158">
        <f>Produccion!I7*Consumos!$G11</f>
        <v>0</v>
      </c>
      <c r="I67" s="158">
        <f>Produccion!J7*Consumos!$G11</f>
        <v>0</v>
      </c>
      <c r="J67" s="158">
        <f>Produccion!K7*Consumos!$G11</f>
        <v>0</v>
      </c>
      <c r="K67" s="158">
        <f>Produccion!L7*Consumos!$G11</f>
        <v>0</v>
      </c>
      <c r="L67" s="158">
        <f>Produccion!M7*Consumos!$G11</f>
        <v>0</v>
      </c>
      <c r="M67" s="158">
        <f>Produccion!N7*Consumos!$G11</f>
        <v>0</v>
      </c>
      <c r="N67" s="158">
        <f>Produccion!O7*Consumos!$G11</f>
        <v>0</v>
      </c>
      <c r="O67" s="162">
        <f t="shared" si="6"/>
        <v>0</v>
      </c>
    </row>
    <row r="68" spans="1:15" ht="12.75" customHeight="1" x14ac:dyDescent="0.2">
      <c r="A68" s="160">
        <f>Productos!A10</f>
        <v>5</v>
      </c>
      <c r="B68" s="176" t="str">
        <f>Productos!B10</f>
        <v>Helado 2 litros liso</v>
      </c>
      <c r="C68" s="158">
        <f>Produccion!D8*Consumos!$G12</f>
        <v>0</v>
      </c>
      <c r="D68" s="158">
        <f>Produccion!E8*Consumos!$G12</f>
        <v>0</v>
      </c>
      <c r="E68" s="158">
        <f>Produccion!F8*Consumos!$G12</f>
        <v>0</v>
      </c>
      <c r="F68" s="158">
        <f>Produccion!G8*Consumos!$G12</f>
        <v>0</v>
      </c>
      <c r="G68" s="158">
        <f>Produccion!H8*Consumos!$G12</f>
        <v>0</v>
      </c>
      <c r="H68" s="158">
        <f>Produccion!I8*Consumos!$G12</f>
        <v>0</v>
      </c>
      <c r="I68" s="158">
        <f>Produccion!J8*Consumos!$G12</f>
        <v>0</v>
      </c>
      <c r="J68" s="158">
        <f>Produccion!K8*Consumos!$G12</f>
        <v>0</v>
      </c>
      <c r="K68" s="158">
        <f>Produccion!L8*Consumos!$G12</f>
        <v>0</v>
      </c>
      <c r="L68" s="158">
        <f>Produccion!M8*Consumos!$G12</f>
        <v>0</v>
      </c>
      <c r="M68" s="158">
        <f>Produccion!N8*Consumos!$G12</f>
        <v>0</v>
      </c>
      <c r="N68" s="158">
        <f>Produccion!O8*Consumos!$G12</f>
        <v>0</v>
      </c>
      <c r="O68" s="162">
        <f t="shared" si="6"/>
        <v>0</v>
      </c>
    </row>
    <row r="69" spans="1:15" ht="12.75" customHeight="1" x14ac:dyDescent="0.2">
      <c r="A69" s="160">
        <f>Productos!A11</f>
        <v>6</v>
      </c>
      <c r="B69" s="176" t="str">
        <f>Productos!B11</f>
        <v>Helado 2 litros con Fruta</v>
      </c>
      <c r="C69" s="158">
        <f>Produccion!D9*Consumos!$G13</f>
        <v>400</v>
      </c>
      <c r="D69" s="158">
        <f>Produccion!E9*Consumos!$G13</f>
        <v>400</v>
      </c>
      <c r="E69" s="158">
        <f>Produccion!F9*Consumos!$G13</f>
        <v>450</v>
      </c>
      <c r="F69" s="158">
        <f>Produccion!G9*Consumos!$G13</f>
        <v>500</v>
      </c>
      <c r="G69" s="158">
        <f>Produccion!H9*Consumos!$G13</f>
        <v>500</v>
      </c>
      <c r="H69" s="158">
        <f>Produccion!I9*Consumos!$G13</f>
        <v>400</v>
      </c>
      <c r="I69" s="158">
        <f>Produccion!J9*Consumos!$G13</f>
        <v>300</v>
      </c>
      <c r="J69" s="158">
        <f>Produccion!K9*Consumos!$G13</f>
        <v>450</v>
      </c>
      <c r="K69" s="158">
        <f>Produccion!L9*Consumos!$G13</f>
        <v>300</v>
      </c>
      <c r="L69" s="158">
        <f>Produccion!M9*Consumos!$G13</f>
        <v>300</v>
      </c>
      <c r="M69" s="158">
        <f>Produccion!N9*Consumos!$G13</f>
        <v>350</v>
      </c>
      <c r="N69" s="158">
        <f>Produccion!O9*Consumos!$G13</f>
        <v>360</v>
      </c>
      <c r="O69" s="162">
        <f t="shared" si="6"/>
        <v>4710</v>
      </c>
    </row>
    <row r="70" spans="1:15" ht="12.75" customHeight="1" x14ac:dyDescent="0.2">
      <c r="A70" s="160">
        <f>Productos!A12</f>
        <v>7</v>
      </c>
      <c r="B70" s="176" t="str">
        <f>Productos!B12</f>
        <v>Helado 2 litros 2 sabores</v>
      </c>
      <c r="C70" s="158">
        <f>Produccion!D10*Consumos!$G14</f>
        <v>0</v>
      </c>
      <c r="D70" s="158">
        <f>Produccion!E10*Consumos!$G14</f>
        <v>0</v>
      </c>
      <c r="E70" s="158">
        <f>Produccion!F10*Consumos!$G14</f>
        <v>0</v>
      </c>
      <c r="F70" s="158">
        <f>Produccion!G10*Consumos!$G14</f>
        <v>0</v>
      </c>
      <c r="G70" s="158">
        <f>Produccion!H10*Consumos!$G14</f>
        <v>0</v>
      </c>
      <c r="H70" s="158">
        <f>Produccion!I10*Consumos!$G14</f>
        <v>0</v>
      </c>
      <c r="I70" s="158">
        <f>Produccion!J10*Consumos!$G14</f>
        <v>0</v>
      </c>
      <c r="J70" s="158">
        <f>Produccion!K10*Consumos!$G14</f>
        <v>0</v>
      </c>
      <c r="K70" s="158">
        <f>Produccion!L10*Consumos!$G14</f>
        <v>0</v>
      </c>
      <c r="L70" s="158">
        <f>Produccion!M10*Consumos!$G14</f>
        <v>0</v>
      </c>
      <c r="M70" s="158">
        <f>Produccion!N10*Consumos!$G14</f>
        <v>0</v>
      </c>
      <c r="N70" s="158">
        <f>Produccion!O10*Consumos!$G14</f>
        <v>0</v>
      </c>
      <c r="O70" s="162">
        <f t="shared" si="6"/>
        <v>0</v>
      </c>
    </row>
    <row r="71" spans="1:15" ht="12.75" customHeight="1" x14ac:dyDescent="0.2">
      <c r="A71" s="160">
        <f>Productos!A13</f>
        <v>8</v>
      </c>
      <c r="B71" s="176" t="str">
        <f>Productos!B13</f>
        <v>Helado 1 litro liso</v>
      </c>
      <c r="C71" s="158">
        <f>Produccion!D11*Consumos!$G15</f>
        <v>0</v>
      </c>
      <c r="D71" s="158">
        <f>Produccion!E11*Consumos!$G15</f>
        <v>0</v>
      </c>
      <c r="E71" s="158">
        <f>Produccion!F11*Consumos!$G15</f>
        <v>0</v>
      </c>
      <c r="F71" s="158">
        <f>Produccion!G11*Consumos!$G15</f>
        <v>0</v>
      </c>
      <c r="G71" s="158">
        <f>Produccion!H11*Consumos!$G15</f>
        <v>0</v>
      </c>
      <c r="H71" s="158">
        <f>Produccion!I11*Consumos!$G15</f>
        <v>0</v>
      </c>
      <c r="I71" s="158">
        <f>Produccion!J11*Consumos!$G15</f>
        <v>0</v>
      </c>
      <c r="J71" s="158">
        <f>Produccion!K11*Consumos!$G15</f>
        <v>0</v>
      </c>
      <c r="K71" s="158">
        <f>Produccion!L11*Consumos!$G15</f>
        <v>0</v>
      </c>
      <c r="L71" s="158">
        <f>Produccion!M11*Consumos!$G15</f>
        <v>0</v>
      </c>
      <c r="M71" s="158">
        <f>Produccion!N11*Consumos!$G15</f>
        <v>0</v>
      </c>
      <c r="N71" s="158">
        <f>Produccion!O11*Consumos!$G15</f>
        <v>0</v>
      </c>
      <c r="O71" s="162">
        <f t="shared" si="6"/>
        <v>0</v>
      </c>
    </row>
    <row r="72" spans="1:15" ht="12.75" customHeight="1" x14ac:dyDescent="0.2">
      <c r="A72" s="160">
        <f>Productos!A14</f>
        <v>9</v>
      </c>
      <c r="B72" s="176" t="str">
        <f>Productos!B14</f>
        <v>Helado 1 litro con Fruta</v>
      </c>
      <c r="C72" s="158">
        <f>Produccion!D12*Consumos!$G16</f>
        <v>125</v>
      </c>
      <c r="D72" s="158">
        <f>Produccion!E12*Consumos!$G16</f>
        <v>200</v>
      </c>
      <c r="E72" s="158">
        <f>Produccion!F12*Consumos!$G16</f>
        <v>200</v>
      </c>
      <c r="F72" s="158">
        <f>Produccion!G12*Consumos!$G16</f>
        <v>175</v>
      </c>
      <c r="G72" s="158">
        <f>Produccion!H12*Consumos!$G16</f>
        <v>200</v>
      </c>
      <c r="H72" s="158">
        <f>Produccion!I12*Consumos!$G16</f>
        <v>175</v>
      </c>
      <c r="I72" s="158">
        <f>Produccion!J12*Consumos!$G16</f>
        <v>150</v>
      </c>
      <c r="J72" s="158">
        <f>Produccion!K12*Consumos!$G16</f>
        <v>175</v>
      </c>
      <c r="K72" s="158">
        <f>Produccion!L12*Consumos!$G16</f>
        <v>225</v>
      </c>
      <c r="L72" s="158">
        <f>Produccion!M12*Consumos!$G16</f>
        <v>250</v>
      </c>
      <c r="M72" s="158">
        <f>Produccion!N12*Consumos!$G16</f>
        <v>200</v>
      </c>
      <c r="N72" s="158">
        <f>Produccion!O12*Consumos!$G16</f>
        <v>200</v>
      </c>
      <c r="O72" s="162">
        <f t="shared" si="6"/>
        <v>2275</v>
      </c>
    </row>
    <row r="73" spans="1:15" ht="13.5" customHeight="1" x14ac:dyDescent="0.2">
      <c r="A73" s="163">
        <f>Productos!A15</f>
        <v>10</v>
      </c>
      <c r="B73" s="172" t="str">
        <f>Productos!B15</f>
        <v>Helado 1 litro 2 sabores</v>
      </c>
      <c r="C73" s="165">
        <f>Produccion!D13*Consumos!$G17</f>
        <v>0</v>
      </c>
      <c r="D73" s="165">
        <f>Produccion!E13*Consumos!$G17</f>
        <v>0</v>
      </c>
      <c r="E73" s="165">
        <f>Produccion!F13*Consumos!$G17</f>
        <v>0</v>
      </c>
      <c r="F73" s="165">
        <f>Produccion!G13*Consumos!$G17</f>
        <v>0</v>
      </c>
      <c r="G73" s="165">
        <f>Produccion!H13*Consumos!$G17</f>
        <v>0</v>
      </c>
      <c r="H73" s="165">
        <f>Produccion!I13*Consumos!$G17</f>
        <v>0</v>
      </c>
      <c r="I73" s="165">
        <f>Produccion!J13*Consumos!$G17</f>
        <v>0</v>
      </c>
      <c r="J73" s="165">
        <f>Produccion!K13*Consumos!$G17</f>
        <v>0</v>
      </c>
      <c r="K73" s="165">
        <f>Produccion!L13*Consumos!$G17</f>
        <v>0</v>
      </c>
      <c r="L73" s="165">
        <f>Produccion!M13*Consumos!$G17</f>
        <v>0</v>
      </c>
      <c r="M73" s="165">
        <f>Produccion!N13*Consumos!$G17</f>
        <v>0</v>
      </c>
      <c r="N73" s="165">
        <f>Produccion!O13*Consumos!$G17</f>
        <v>0</v>
      </c>
      <c r="O73" s="166">
        <f t="shared" si="6"/>
        <v>0</v>
      </c>
    </row>
    <row r="74" spans="1:15" ht="14.25" customHeight="1" x14ac:dyDescent="0.2">
      <c r="A74" s="25"/>
      <c r="B74" s="173" t="str">
        <f>"TOTALES "&amp;Productos!E24</f>
        <v>TOTALES Fruta</v>
      </c>
      <c r="C74" s="168">
        <f t="shared" ref="C74:O74" si="7">SUM(C64:C73)</f>
        <v>2925</v>
      </c>
      <c r="D74" s="168">
        <f t="shared" si="7"/>
        <v>2600</v>
      </c>
      <c r="E74" s="168">
        <f t="shared" si="7"/>
        <v>2250</v>
      </c>
      <c r="F74" s="168">
        <f t="shared" si="7"/>
        <v>1475</v>
      </c>
      <c r="G74" s="168">
        <f t="shared" si="7"/>
        <v>1200</v>
      </c>
      <c r="H74" s="168">
        <f t="shared" si="7"/>
        <v>975</v>
      </c>
      <c r="I74" s="168">
        <f t="shared" si="7"/>
        <v>850</v>
      </c>
      <c r="J74" s="168">
        <f t="shared" si="7"/>
        <v>1025</v>
      </c>
      <c r="K74" s="168">
        <f t="shared" si="7"/>
        <v>1625</v>
      </c>
      <c r="L74" s="168">
        <f t="shared" si="7"/>
        <v>2350</v>
      </c>
      <c r="M74" s="168">
        <f t="shared" si="7"/>
        <v>2950</v>
      </c>
      <c r="N74" s="168">
        <f t="shared" si="7"/>
        <v>2960</v>
      </c>
      <c r="O74" s="169">
        <f t="shared" si="7"/>
        <v>23185</v>
      </c>
    </row>
    <row r="75" spans="1:15" ht="12.75" customHeight="1" x14ac:dyDescent="0.2"/>
    <row r="76" spans="1:15" ht="13.5" customHeight="1" x14ac:dyDescent="0.2"/>
    <row r="77" spans="1:15" ht="13.5" customHeight="1" x14ac:dyDescent="0.2">
      <c r="A77" s="12" t="s">
        <v>53</v>
      </c>
      <c r="B77" s="13" t="str">
        <f>"Necesidades de "&amp;Productos!E25</f>
        <v>Necesidades de Otros</v>
      </c>
      <c r="C77" s="14" t="str">
        <f>Ventas!$C$3</f>
        <v>Enero</v>
      </c>
      <c r="D77" s="14" t="str">
        <f>Ventas!$D$3</f>
        <v>Febrero</v>
      </c>
      <c r="E77" s="14" t="str">
        <f>Ventas!$E$3</f>
        <v>Marzo</v>
      </c>
      <c r="F77" s="14" t="str">
        <f>Ventas!$F$3</f>
        <v>Abril</v>
      </c>
      <c r="G77" s="14" t="str">
        <f>Ventas!$G$3</f>
        <v>Mayo</v>
      </c>
      <c r="H77" s="14" t="str">
        <f>Ventas!$H$3</f>
        <v>Junio</v>
      </c>
      <c r="I77" s="14" t="str">
        <f>Ventas!$I$3</f>
        <v>Julio</v>
      </c>
      <c r="J77" s="14" t="str">
        <f>Ventas!$J$3</f>
        <v>Agosto</v>
      </c>
      <c r="K77" s="14" t="str">
        <f>Ventas!$K$3</f>
        <v>Sept.</v>
      </c>
      <c r="L77" s="14" t="str">
        <f>Ventas!$L$3</f>
        <v>Oct.</v>
      </c>
      <c r="M77" s="14" t="str">
        <f>Ventas!$M$3</f>
        <v>Nov.</v>
      </c>
      <c r="N77" s="14" t="str">
        <f>Ventas!$N$3</f>
        <v>Dic.</v>
      </c>
      <c r="O77" s="155" t="s">
        <v>99</v>
      </c>
    </row>
    <row r="78" spans="1:15" ht="12.75" customHeight="1" x14ac:dyDescent="0.2">
      <c r="A78" s="170">
        <f>Productos!A6</f>
        <v>1</v>
      </c>
      <c r="B78" s="174" t="str">
        <f>Productos!B6</f>
        <v>Helado por 10 litros liso</v>
      </c>
      <c r="C78" s="158">
        <f>Produccion!D4*Consumos!$H8</f>
        <v>7200</v>
      </c>
      <c r="D78" s="158">
        <f>Produccion!E4*Consumos!$H8</f>
        <v>6000</v>
      </c>
      <c r="E78" s="158">
        <f>Produccion!F4*Consumos!$H8</f>
        <v>4800</v>
      </c>
      <c r="F78" s="158">
        <f>Produccion!G4*Consumos!$H8</f>
        <v>2400</v>
      </c>
      <c r="G78" s="158">
        <f>Produccion!H4*Consumos!$H8</f>
        <v>1500</v>
      </c>
      <c r="H78" s="158">
        <f>Produccion!I4*Consumos!$H8</f>
        <v>1200</v>
      </c>
      <c r="I78" s="158">
        <f>Produccion!J4*Consumos!$H8</f>
        <v>1200</v>
      </c>
      <c r="J78" s="158">
        <f>Produccion!K4*Consumos!$H8</f>
        <v>1200</v>
      </c>
      <c r="K78" s="158">
        <f>Produccion!L4*Consumos!$H8</f>
        <v>3300</v>
      </c>
      <c r="L78" s="158">
        <f>Produccion!M4*Consumos!$H8</f>
        <v>5400</v>
      </c>
      <c r="M78" s="158">
        <f>Produccion!N4*Consumos!$H8</f>
        <v>7200</v>
      </c>
      <c r="N78" s="158">
        <f>Produccion!O4*Consumos!$H8</f>
        <v>5664</v>
      </c>
      <c r="O78" s="159">
        <f t="shared" ref="O78:O87" si="8">SUM(C78:N78)</f>
        <v>47064</v>
      </c>
    </row>
    <row r="79" spans="1:15" ht="12.75" customHeight="1" x14ac:dyDescent="0.2">
      <c r="A79" s="160">
        <f>Productos!A7</f>
        <v>2</v>
      </c>
      <c r="B79" s="161" t="str">
        <f>Productos!B7</f>
        <v>Helado por 10 litros con Fruta</v>
      </c>
      <c r="C79" s="158">
        <f>Produccion!D5*Consumos!$H9</f>
        <v>7200</v>
      </c>
      <c r="D79" s="158">
        <f>Produccion!E5*Consumos!$H9</f>
        <v>6000</v>
      </c>
      <c r="E79" s="158">
        <f>Produccion!F5*Consumos!$H9</f>
        <v>4800</v>
      </c>
      <c r="F79" s="158">
        <f>Produccion!G5*Consumos!$H9</f>
        <v>2400</v>
      </c>
      <c r="G79" s="158">
        <f>Produccion!H5*Consumos!$H9</f>
        <v>1500</v>
      </c>
      <c r="H79" s="158">
        <f>Produccion!I5*Consumos!$H9</f>
        <v>1200</v>
      </c>
      <c r="I79" s="158">
        <f>Produccion!J5*Consumos!$H9</f>
        <v>1200</v>
      </c>
      <c r="J79" s="158">
        <f>Produccion!K5*Consumos!$H9</f>
        <v>1200</v>
      </c>
      <c r="K79" s="158">
        <f>Produccion!L5*Consumos!$H9</f>
        <v>3300</v>
      </c>
      <c r="L79" s="158">
        <f>Produccion!M5*Consumos!$H9</f>
        <v>5400</v>
      </c>
      <c r="M79" s="158">
        <f>Produccion!N5*Consumos!$H9</f>
        <v>7200</v>
      </c>
      <c r="N79" s="158">
        <f>Produccion!O5*Consumos!$H9</f>
        <v>7200</v>
      </c>
      <c r="O79" s="162">
        <f t="shared" si="8"/>
        <v>48600</v>
      </c>
    </row>
    <row r="80" spans="1:15" ht="12.75" customHeight="1" x14ac:dyDescent="0.2">
      <c r="A80" s="160">
        <f>Productos!A8</f>
        <v>3</v>
      </c>
      <c r="B80" s="161" t="str">
        <f>Productos!B8</f>
        <v>Helado por 5 litros</v>
      </c>
      <c r="C80" s="158">
        <f>Produccion!D6*Consumos!$H10</f>
        <v>1600</v>
      </c>
      <c r="D80" s="158">
        <f>Produccion!E6*Consumos!$H10</f>
        <v>1600</v>
      </c>
      <c r="E80" s="158">
        <f>Produccion!F6*Consumos!$H10</f>
        <v>1200</v>
      </c>
      <c r="F80" s="158">
        <f>Produccion!G6*Consumos!$H10</f>
        <v>1200</v>
      </c>
      <c r="G80" s="158">
        <f>Produccion!H6*Consumos!$H10</f>
        <v>900</v>
      </c>
      <c r="H80" s="158">
        <f>Produccion!I6*Consumos!$H10</f>
        <v>400</v>
      </c>
      <c r="I80" s="158">
        <f>Produccion!J6*Consumos!$H10</f>
        <v>0</v>
      </c>
      <c r="J80" s="158">
        <f>Produccion!K6*Consumos!$H10</f>
        <v>0</v>
      </c>
      <c r="K80" s="158">
        <f>Produccion!L6*Consumos!$H10</f>
        <v>700</v>
      </c>
      <c r="L80" s="158">
        <f>Produccion!M6*Consumos!$H10</f>
        <v>1300</v>
      </c>
      <c r="M80" s="158">
        <f>Produccion!N6*Consumos!$H10</f>
        <v>1900</v>
      </c>
      <c r="N80" s="158">
        <f>Produccion!O6*Consumos!$H10</f>
        <v>1900</v>
      </c>
      <c r="O80" s="162">
        <f t="shared" si="8"/>
        <v>12700</v>
      </c>
    </row>
    <row r="81" spans="1:16" ht="12.75" customHeight="1" x14ac:dyDescent="0.2">
      <c r="A81" s="160">
        <f>Productos!A9</f>
        <v>4</v>
      </c>
      <c r="B81" s="161" t="str">
        <f>Productos!B9</f>
        <v>Balde 5 litros 2 sabores</v>
      </c>
      <c r="C81" s="158">
        <f>Produccion!D7*Consumos!$H11</f>
        <v>1200</v>
      </c>
      <c r="D81" s="158">
        <f>Produccion!E7*Consumos!$H11</f>
        <v>1200</v>
      </c>
      <c r="E81" s="158">
        <f>Produccion!F7*Consumos!$H11</f>
        <v>1000</v>
      </c>
      <c r="F81" s="158">
        <f>Produccion!G7*Consumos!$H11</f>
        <v>600</v>
      </c>
      <c r="G81" s="158">
        <f>Produccion!H7*Consumos!$H11</f>
        <v>400</v>
      </c>
      <c r="H81" s="158">
        <f>Produccion!I7*Consumos!$H11</f>
        <v>900</v>
      </c>
      <c r="I81" s="158">
        <f>Produccion!J7*Consumos!$H11</f>
        <v>0</v>
      </c>
      <c r="J81" s="158">
        <f>Produccion!K7*Consumos!$H11</f>
        <v>0</v>
      </c>
      <c r="K81" s="158">
        <f>Produccion!L7*Consumos!$H11</f>
        <v>600</v>
      </c>
      <c r="L81" s="158">
        <f>Produccion!M7*Consumos!$H11</f>
        <v>1400</v>
      </c>
      <c r="M81" s="158">
        <f>Produccion!N7*Consumos!$H11</f>
        <v>1900</v>
      </c>
      <c r="N81" s="158">
        <f>Produccion!O7*Consumos!$H11</f>
        <v>1900</v>
      </c>
      <c r="O81" s="162">
        <f t="shared" si="8"/>
        <v>11100</v>
      </c>
    </row>
    <row r="82" spans="1:16" ht="12.75" customHeight="1" x14ac:dyDescent="0.2">
      <c r="A82" s="160">
        <f>Productos!A10</f>
        <v>5</v>
      </c>
      <c r="B82" s="161" t="str">
        <f>Productos!B10</f>
        <v>Helado 2 litros liso</v>
      </c>
      <c r="C82" s="158">
        <f>Produccion!D8*Consumos!$H12</f>
        <v>180</v>
      </c>
      <c r="D82" s="158">
        <f>Produccion!E8*Consumos!$H12</f>
        <v>200</v>
      </c>
      <c r="E82" s="158">
        <f>Produccion!F8*Consumos!$H12</f>
        <v>180</v>
      </c>
      <c r="F82" s="158">
        <f>Produccion!G8*Consumos!$H12</f>
        <v>140</v>
      </c>
      <c r="G82" s="158">
        <f>Produccion!H8*Consumos!$H12</f>
        <v>140</v>
      </c>
      <c r="H82" s="158">
        <f>Produccion!I8*Consumos!$H12</f>
        <v>160</v>
      </c>
      <c r="I82" s="158">
        <f>Produccion!J8*Consumos!$H12</f>
        <v>180</v>
      </c>
      <c r="J82" s="158">
        <f>Produccion!K8*Consumos!$H12</f>
        <v>180</v>
      </c>
      <c r="K82" s="158">
        <f>Produccion!L8*Consumos!$H12</f>
        <v>160</v>
      </c>
      <c r="L82" s="158">
        <f>Produccion!M8*Consumos!$H12</f>
        <v>120</v>
      </c>
      <c r="M82" s="158">
        <f>Produccion!N8*Consumos!$H12</f>
        <v>100</v>
      </c>
      <c r="N82" s="158">
        <f>Produccion!O8*Consumos!$H12</f>
        <v>140</v>
      </c>
      <c r="O82" s="162">
        <f t="shared" si="8"/>
        <v>1880</v>
      </c>
    </row>
    <row r="83" spans="1:16" ht="12.75" customHeight="1" x14ac:dyDescent="0.2">
      <c r="A83" s="160">
        <f>Productos!A11</f>
        <v>6</v>
      </c>
      <c r="B83" s="161" t="str">
        <f>Productos!B11</f>
        <v>Helado 2 litros con Fruta</v>
      </c>
      <c r="C83" s="158">
        <f>Produccion!D9*Consumos!$H13</f>
        <v>160</v>
      </c>
      <c r="D83" s="158">
        <f>Produccion!E9*Consumos!$H13</f>
        <v>160</v>
      </c>
      <c r="E83" s="158">
        <f>Produccion!F9*Consumos!$H13</f>
        <v>180</v>
      </c>
      <c r="F83" s="158">
        <f>Produccion!G9*Consumos!$H13</f>
        <v>200</v>
      </c>
      <c r="G83" s="158">
        <f>Produccion!H9*Consumos!$H13</f>
        <v>200</v>
      </c>
      <c r="H83" s="158">
        <f>Produccion!I9*Consumos!$H13</f>
        <v>160</v>
      </c>
      <c r="I83" s="158">
        <f>Produccion!J9*Consumos!$H13</f>
        <v>120</v>
      </c>
      <c r="J83" s="158">
        <f>Produccion!K9*Consumos!$H13</f>
        <v>180</v>
      </c>
      <c r="K83" s="158">
        <f>Produccion!L9*Consumos!$H13</f>
        <v>120</v>
      </c>
      <c r="L83" s="158">
        <f>Produccion!M9*Consumos!$H13</f>
        <v>120</v>
      </c>
      <c r="M83" s="158">
        <f>Produccion!N9*Consumos!$H13</f>
        <v>140</v>
      </c>
      <c r="N83" s="158">
        <f>Produccion!O9*Consumos!$H13</f>
        <v>144</v>
      </c>
      <c r="O83" s="162">
        <f t="shared" si="8"/>
        <v>1884</v>
      </c>
    </row>
    <row r="84" spans="1:16" ht="12.75" customHeight="1" x14ac:dyDescent="0.2">
      <c r="A84" s="160">
        <f>Productos!A12</f>
        <v>7</v>
      </c>
      <c r="B84" s="161" t="str">
        <f>Productos!B12</f>
        <v>Helado 2 litros 2 sabores</v>
      </c>
      <c r="C84" s="158">
        <f>Produccion!D10*Consumos!$H14</f>
        <v>160</v>
      </c>
      <c r="D84" s="158">
        <f>Produccion!E10*Consumos!$H14</f>
        <v>160</v>
      </c>
      <c r="E84" s="158">
        <f>Produccion!F10*Consumos!$H14</f>
        <v>160</v>
      </c>
      <c r="F84" s="158">
        <f>Produccion!G10*Consumos!$H14</f>
        <v>140</v>
      </c>
      <c r="G84" s="158">
        <f>Produccion!H10*Consumos!$H14</f>
        <v>120</v>
      </c>
      <c r="H84" s="158">
        <f>Produccion!I10*Consumos!$H14</f>
        <v>200</v>
      </c>
      <c r="I84" s="158">
        <f>Produccion!J10*Consumos!$H14</f>
        <v>160</v>
      </c>
      <c r="J84" s="158">
        <f>Produccion!K10*Consumos!$H14</f>
        <v>120</v>
      </c>
      <c r="K84" s="158">
        <f>Produccion!L10*Consumos!$H14</f>
        <v>160</v>
      </c>
      <c r="L84" s="158">
        <f>Produccion!M10*Consumos!$H14</f>
        <v>200</v>
      </c>
      <c r="M84" s="158">
        <f>Produccion!N10*Consumos!$H14</f>
        <v>160</v>
      </c>
      <c r="N84" s="158">
        <f>Produccion!O10*Consumos!$H14</f>
        <v>160</v>
      </c>
      <c r="O84" s="162">
        <f t="shared" si="8"/>
        <v>1900</v>
      </c>
    </row>
    <row r="85" spans="1:16" ht="12.75" customHeight="1" x14ac:dyDescent="0.2">
      <c r="A85" s="160">
        <f>Productos!A13</f>
        <v>8</v>
      </c>
      <c r="B85" s="161" t="str">
        <f>Productos!B13</f>
        <v>Helado 1 litro liso</v>
      </c>
      <c r="C85" s="158">
        <f>Produccion!D11*Consumos!$H15</f>
        <v>40</v>
      </c>
      <c r="D85" s="158">
        <f>Produccion!E11*Consumos!$H15</f>
        <v>100</v>
      </c>
      <c r="E85" s="158">
        <f>Produccion!F11*Consumos!$H15</f>
        <v>100</v>
      </c>
      <c r="F85" s="158">
        <f>Produccion!G11*Consumos!$H15</f>
        <v>60</v>
      </c>
      <c r="G85" s="158">
        <f>Produccion!H11*Consumos!$H15</f>
        <v>80</v>
      </c>
      <c r="H85" s="158">
        <f>Produccion!I11*Consumos!$H15</f>
        <v>60</v>
      </c>
      <c r="I85" s="158">
        <f>Produccion!J11*Consumos!$H15</f>
        <v>90</v>
      </c>
      <c r="J85" s="158">
        <f>Produccion!K11*Consumos!$H15</f>
        <v>70</v>
      </c>
      <c r="K85" s="158">
        <f>Produccion!L11*Consumos!$H15</f>
        <v>70</v>
      </c>
      <c r="L85" s="158">
        <f>Produccion!M11*Consumos!$H15</f>
        <v>70</v>
      </c>
      <c r="M85" s="158">
        <f>Produccion!N11*Consumos!$H15</f>
        <v>80</v>
      </c>
      <c r="N85" s="158">
        <f>Produccion!O11*Consumos!$H15</f>
        <v>100</v>
      </c>
      <c r="O85" s="162">
        <f t="shared" si="8"/>
        <v>920</v>
      </c>
    </row>
    <row r="86" spans="1:16" ht="12.75" customHeight="1" x14ac:dyDescent="0.2">
      <c r="A86" s="160">
        <f>Productos!A14</f>
        <v>9</v>
      </c>
      <c r="B86" s="161" t="str">
        <f>Productos!B14</f>
        <v>Helado 1 litro con Fruta</v>
      </c>
      <c r="C86" s="158">
        <f>Produccion!D12*Consumos!$H16</f>
        <v>50</v>
      </c>
      <c r="D86" s="158">
        <f>Produccion!E12*Consumos!$H16</f>
        <v>80</v>
      </c>
      <c r="E86" s="158">
        <f>Produccion!F12*Consumos!$H16</f>
        <v>80</v>
      </c>
      <c r="F86" s="158">
        <f>Produccion!G12*Consumos!$H16</f>
        <v>70</v>
      </c>
      <c r="G86" s="158">
        <f>Produccion!H12*Consumos!$H16</f>
        <v>80</v>
      </c>
      <c r="H86" s="158">
        <f>Produccion!I12*Consumos!$H16</f>
        <v>70</v>
      </c>
      <c r="I86" s="158">
        <f>Produccion!J12*Consumos!$H16</f>
        <v>60</v>
      </c>
      <c r="J86" s="158">
        <f>Produccion!K12*Consumos!$H16</f>
        <v>70</v>
      </c>
      <c r="K86" s="158">
        <f>Produccion!L12*Consumos!$H16</f>
        <v>90</v>
      </c>
      <c r="L86" s="158">
        <f>Produccion!M12*Consumos!$H16</f>
        <v>100</v>
      </c>
      <c r="M86" s="158">
        <f>Produccion!N12*Consumos!$H16</f>
        <v>80</v>
      </c>
      <c r="N86" s="158">
        <f>Produccion!O12*Consumos!$H16</f>
        <v>80</v>
      </c>
      <c r="O86" s="162">
        <f t="shared" si="8"/>
        <v>910</v>
      </c>
    </row>
    <row r="87" spans="1:16" ht="13.5" customHeight="1" x14ac:dyDescent="0.2">
      <c r="A87" s="163">
        <f>Productos!A15</f>
        <v>10</v>
      </c>
      <c r="B87" s="164" t="str">
        <f>Productos!B15</f>
        <v>Helado 1 litro 2 sabores</v>
      </c>
      <c r="C87" s="165">
        <f>Produccion!D13*Consumos!$H17</f>
        <v>60</v>
      </c>
      <c r="D87" s="165">
        <f>Produccion!E13*Consumos!$H17</f>
        <v>90</v>
      </c>
      <c r="E87" s="165">
        <f>Produccion!F13*Consumos!$H17</f>
        <v>70</v>
      </c>
      <c r="F87" s="165">
        <f>Produccion!G13*Consumos!$H17</f>
        <v>70</v>
      </c>
      <c r="G87" s="165">
        <f>Produccion!H13*Consumos!$H17</f>
        <v>90</v>
      </c>
      <c r="H87" s="165">
        <f>Produccion!I13*Consumos!$H17</f>
        <v>80</v>
      </c>
      <c r="I87" s="165">
        <f>Produccion!J13*Consumos!$H17</f>
        <v>100</v>
      </c>
      <c r="J87" s="165">
        <f>Produccion!K13*Consumos!$H17</f>
        <v>80</v>
      </c>
      <c r="K87" s="165">
        <f>Produccion!L13*Consumos!$H17</f>
        <v>90</v>
      </c>
      <c r="L87" s="165">
        <f>Produccion!M13*Consumos!$H17</f>
        <v>80</v>
      </c>
      <c r="M87" s="165">
        <f>Produccion!N13*Consumos!$H17</f>
        <v>90</v>
      </c>
      <c r="N87" s="165">
        <f>Produccion!O13*Consumos!$H17</f>
        <v>90</v>
      </c>
      <c r="O87" s="166">
        <f t="shared" si="8"/>
        <v>990</v>
      </c>
    </row>
    <row r="88" spans="1:16" ht="14.25" customHeight="1" x14ac:dyDescent="0.2">
      <c r="A88" s="25"/>
      <c r="B88" s="173" t="str">
        <f>"TOTALES "&amp;Productos!E25</f>
        <v>TOTALES Otros</v>
      </c>
      <c r="C88" s="168">
        <f t="shared" ref="C88:O88" si="9">SUM(C78:C87)</f>
        <v>17850</v>
      </c>
      <c r="D88" s="168">
        <f t="shared" si="9"/>
        <v>15590</v>
      </c>
      <c r="E88" s="168">
        <f t="shared" si="9"/>
        <v>12570</v>
      </c>
      <c r="F88" s="168">
        <f t="shared" si="9"/>
        <v>7280</v>
      </c>
      <c r="G88" s="168">
        <f t="shared" si="9"/>
        <v>5010</v>
      </c>
      <c r="H88" s="168">
        <f t="shared" si="9"/>
        <v>4430</v>
      </c>
      <c r="I88" s="168">
        <f t="shared" si="9"/>
        <v>3110</v>
      </c>
      <c r="J88" s="168">
        <f t="shared" si="9"/>
        <v>3100</v>
      </c>
      <c r="K88" s="168">
        <f t="shared" si="9"/>
        <v>8590</v>
      </c>
      <c r="L88" s="168">
        <f t="shared" si="9"/>
        <v>14190</v>
      </c>
      <c r="M88" s="168">
        <f t="shared" si="9"/>
        <v>18850</v>
      </c>
      <c r="N88" s="168">
        <f t="shared" si="9"/>
        <v>17378</v>
      </c>
      <c r="O88" s="169">
        <f t="shared" si="9"/>
        <v>127948</v>
      </c>
    </row>
    <row r="89" spans="1:16" ht="12.75" customHeight="1" x14ac:dyDescent="0.2"/>
    <row r="90" spans="1:16" ht="12.75" customHeight="1" x14ac:dyDescent="0.2"/>
    <row r="91" spans="1:16" ht="12.75" customHeight="1" x14ac:dyDescent="0.2"/>
    <row r="92" spans="1:16" ht="12.75" customHeight="1" x14ac:dyDescent="0.2">
      <c r="A92" s="8" t="s">
        <v>123</v>
      </c>
    </row>
    <row r="93" spans="1:16" ht="13.5" customHeight="1" x14ac:dyDescent="0.2"/>
    <row r="94" spans="1:16" ht="26.25" customHeight="1" x14ac:dyDescent="0.2">
      <c r="A94" s="94" t="s">
        <v>53</v>
      </c>
      <c r="B94" s="177" t="s">
        <v>54</v>
      </c>
      <c r="C94" s="95" t="s">
        <v>55</v>
      </c>
      <c r="D94" s="14" t="str">
        <f>Ventas!$C$3</f>
        <v>Enero</v>
      </c>
      <c r="E94" s="14" t="str">
        <f>Ventas!$D$3</f>
        <v>Febrero</v>
      </c>
      <c r="F94" s="14" t="str">
        <f>Ventas!$E$3</f>
        <v>Marzo</v>
      </c>
      <c r="G94" s="14" t="str">
        <f>Ventas!$F$3</f>
        <v>Abril</v>
      </c>
      <c r="H94" s="14" t="str">
        <f>Ventas!$G$3</f>
        <v>Mayo</v>
      </c>
      <c r="I94" s="14" t="str">
        <f>Ventas!$H$3</f>
        <v>Junio</v>
      </c>
      <c r="J94" s="14" t="str">
        <f>Ventas!$I$3</f>
        <v>Julio</v>
      </c>
      <c r="K94" s="14" t="str">
        <f>Ventas!$J$3</f>
        <v>Agosto</v>
      </c>
      <c r="L94" s="14" t="str">
        <f>Ventas!$K$3</f>
        <v>Sept.</v>
      </c>
      <c r="M94" s="14" t="str">
        <f>Ventas!$L$3</f>
        <v>Oct.</v>
      </c>
      <c r="N94" s="14" t="str">
        <f>Ventas!$M$3</f>
        <v>Nov.</v>
      </c>
      <c r="O94" s="14" t="str">
        <f>Ventas!$N$3</f>
        <v>Dic.</v>
      </c>
      <c r="P94" s="155" t="s">
        <v>99</v>
      </c>
    </row>
    <row r="95" spans="1:16" ht="12.75" customHeight="1" x14ac:dyDescent="0.2">
      <c r="A95" s="97">
        <v>1</v>
      </c>
      <c r="B95" s="98" t="str">
        <f>Productos!B21</f>
        <v>Leche</v>
      </c>
      <c r="C95" s="98" t="str">
        <f>Productos!C21</f>
        <v>Litros</v>
      </c>
      <c r="D95" s="99">
        <f>Consumos!C32</f>
        <v>30195</v>
      </c>
      <c r="E95" s="99">
        <f>Consumos!D32</f>
        <v>28045</v>
      </c>
      <c r="F95" s="99">
        <f>Consumos!E32</f>
        <v>23375</v>
      </c>
      <c r="G95" s="99">
        <f>Consumos!F32</f>
        <v>15460</v>
      </c>
      <c r="H95" s="99">
        <f>Consumos!G32</f>
        <v>12190</v>
      </c>
      <c r="I95" s="99">
        <f>Consumos!H32</f>
        <v>11465</v>
      </c>
      <c r="J95" s="99">
        <f>Consumos!I32</f>
        <v>8525</v>
      </c>
      <c r="K95" s="99">
        <f>Consumos!J32</f>
        <v>8450</v>
      </c>
      <c r="L95" s="99">
        <f>Consumos!K32</f>
        <v>16810</v>
      </c>
      <c r="M95" s="99">
        <f>Consumos!L32</f>
        <v>25440</v>
      </c>
      <c r="N95" s="99">
        <f>Consumos!M32</f>
        <v>32340</v>
      </c>
      <c r="O95" s="99">
        <f>Consumos!N32</f>
        <v>30772</v>
      </c>
      <c r="P95" s="129">
        <f t="shared" ref="P95:P99" si="10">SUM(D95:O95)</f>
        <v>243067</v>
      </c>
    </row>
    <row r="96" spans="1:16" ht="12.75" customHeight="1" x14ac:dyDescent="0.2">
      <c r="A96" s="97">
        <v>2</v>
      </c>
      <c r="B96" s="98" t="str">
        <f>Productos!B22</f>
        <v>Crema</v>
      </c>
      <c r="C96" s="98" t="str">
        <f>Productos!C22</f>
        <v>Kilos</v>
      </c>
      <c r="D96" s="99">
        <f>Consumos!C46</f>
        <v>7125</v>
      </c>
      <c r="E96" s="99">
        <f>Consumos!D46</f>
        <v>6675</v>
      </c>
      <c r="F96" s="99">
        <f>Consumos!E46</f>
        <v>5675</v>
      </c>
      <c r="G96" s="99">
        <f>Consumos!F46</f>
        <v>3750</v>
      </c>
      <c r="H96" s="99">
        <f>Consumos!G46</f>
        <v>3100</v>
      </c>
      <c r="I96" s="99">
        <f>Consumos!H46</f>
        <v>2950</v>
      </c>
      <c r="J96" s="99">
        <f>Consumos!I46</f>
        <v>2575</v>
      </c>
      <c r="K96" s="99">
        <f>Consumos!J46</f>
        <v>2550</v>
      </c>
      <c r="L96" s="99">
        <f>Consumos!K46</f>
        <v>4250</v>
      </c>
      <c r="M96" s="99">
        <f>Consumos!L46</f>
        <v>6000</v>
      </c>
      <c r="N96" s="99">
        <f>Consumos!M46</f>
        <v>7375</v>
      </c>
      <c r="O96" s="99">
        <f>Consumos!N46</f>
        <v>7023</v>
      </c>
      <c r="P96" s="129">
        <f t="shared" si="10"/>
        <v>59048</v>
      </c>
    </row>
    <row r="97" spans="1:16" ht="12.75" customHeight="1" x14ac:dyDescent="0.2">
      <c r="A97" s="97">
        <v>3</v>
      </c>
      <c r="B97" s="98" t="str">
        <f>Productos!B23</f>
        <v>Azucar</v>
      </c>
      <c r="C97" s="98" t="str">
        <f>Productos!C23</f>
        <v>Kilos</v>
      </c>
      <c r="D97" s="99">
        <f>Consumos!C60</f>
        <v>15650</v>
      </c>
      <c r="E97" s="99">
        <f>Consumos!D60</f>
        <v>14750</v>
      </c>
      <c r="F97" s="99">
        <f>Consumos!E60</f>
        <v>12450</v>
      </c>
      <c r="G97" s="99">
        <f>Consumos!F60</f>
        <v>8400</v>
      </c>
      <c r="H97" s="99">
        <f>Consumos!G60</f>
        <v>6850</v>
      </c>
      <c r="I97" s="99">
        <f>Consumos!H60</f>
        <v>6550</v>
      </c>
      <c r="J97" s="99">
        <f>Consumos!I60</f>
        <v>5150</v>
      </c>
      <c r="K97" s="99">
        <f>Consumos!J60</f>
        <v>5100</v>
      </c>
      <c r="L97" s="99">
        <f>Consumos!K60</f>
        <v>9150</v>
      </c>
      <c r="M97" s="99">
        <f>Consumos!L60</f>
        <v>13350</v>
      </c>
      <c r="N97" s="99">
        <f>Consumos!M60</f>
        <v>16650</v>
      </c>
      <c r="O97" s="99">
        <f>Consumos!N60</f>
        <v>15946</v>
      </c>
      <c r="P97" s="129">
        <f t="shared" si="10"/>
        <v>129996</v>
      </c>
    </row>
    <row r="98" spans="1:16" ht="12.75" customHeight="1" x14ac:dyDescent="0.2">
      <c r="A98" s="97">
        <v>4</v>
      </c>
      <c r="B98" s="98" t="str">
        <f>Productos!B24</f>
        <v>Frutas y secos</v>
      </c>
      <c r="C98" s="98" t="str">
        <f>Productos!C24</f>
        <v>Kilos</v>
      </c>
      <c r="D98" s="99">
        <f>Consumos!C74</f>
        <v>2925</v>
      </c>
      <c r="E98" s="99">
        <f>Consumos!D74</f>
        <v>2600</v>
      </c>
      <c r="F98" s="99">
        <f>Consumos!E74</f>
        <v>2250</v>
      </c>
      <c r="G98" s="99">
        <f>Consumos!F74</f>
        <v>1475</v>
      </c>
      <c r="H98" s="99">
        <f>Consumos!G74</f>
        <v>1200</v>
      </c>
      <c r="I98" s="99">
        <f>Consumos!H74</f>
        <v>975</v>
      </c>
      <c r="J98" s="99">
        <f>Consumos!I74</f>
        <v>850</v>
      </c>
      <c r="K98" s="99">
        <f>Consumos!J74</f>
        <v>1025</v>
      </c>
      <c r="L98" s="99">
        <f>Consumos!K74</f>
        <v>1625</v>
      </c>
      <c r="M98" s="99">
        <f>Consumos!L74</f>
        <v>2350</v>
      </c>
      <c r="N98" s="99">
        <f>Consumos!M74</f>
        <v>2950</v>
      </c>
      <c r="O98" s="99">
        <f>Consumos!N74</f>
        <v>2960</v>
      </c>
      <c r="P98" s="129">
        <f t="shared" si="10"/>
        <v>23185</v>
      </c>
    </row>
    <row r="99" spans="1:16" ht="13.5" customHeight="1" x14ac:dyDescent="0.2">
      <c r="A99" s="101">
        <v>5</v>
      </c>
      <c r="B99" s="102" t="str">
        <f>Productos!B25</f>
        <v>Otros</v>
      </c>
      <c r="C99" s="102" t="str">
        <f>Productos!C25</f>
        <v>Pesos</v>
      </c>
      <c r="D99" s="103">
        <f>Consumos!C88</f>
        <v>17850</v>
      </c>
      <c r="E99" s="103">
        <f>Consumos!D88</f>
        <v>15590</v>
      </c>
      <c r="F99" s="103">
        <f>Consumos!E88</f>
        <v>12570</v>
      </c>
      <c r="G99" s="103">
        <f>Consumos!F88</f>
        <v>7280</v>
      </c>
      <c r="H99" s="103">
        <f>Consumos!G88</f>
        <v>5010</v>
      </c>
      <c r="I99" s="103">
        <f>Consumos!H88</f>
        <v>4430</v>
      </c>
      <c r="J99" s="103">
        <f>Consumos!I88</f>
        <v>3110</v>
      </c>
      <c r="K99" s="103">
        <f>Consumos!J88</f>
        <v>3100</v>
      </c>
      <c r="L99" s="103">
        <f>Consumos!K88</f>
        <v>8590</v>
      </c>
      <c r="M99" s="103">
        <f>Consumos!L88</f>
        <v>14190</v>
      </c>
      <c r="N99" s="103">
        <f>Consumos!M88</f>
        <v>18850</v>
      </c>
      <c r="O99" s="103">
        <f>Consumos!N88</f>
        <v>17378</v>
      </c>
      <c r="P99" s="130">
        <f t="shared" si="10"/>
        <v>127948</v>
      </c>
    </row>
    <row r="100" spans="1:16" ht="12.75" customHeight="1" x14ac:dyDescent="0.2"/>
    <row r="101" spans="1:16" ht="12.75" customHeight="1" x14ac:dyDescent="0.2">
      <c r="A101" s="8" t="s">
        <v>124</v>
      </c>
    </row>
    <row r="102" spans="1:16" ht="13.5" customHeight="1" x14ac:dyDescent="0.2"/>
    <row r="103" spans="1:16" ht="13.5" customHeight="1" x14ac:dyDescent="0.2">
      <c r="A103" s="94" t="s">
        <v>53</v>
      </c>
      <c r="B103" s="177" t="s">
        <v>54</v>
      </c>
      <c r="C103" s="95"/>
      <c r="D103" s="95" t="str">
        <f t="shared" ref="D103:O103" si="11">D94</f>
        <v>Enero</v>
      </c>
      <c r="E103" s="95" t="str">
        <f t="shared" si="11"/>
        <v>Febrero</v>
      </c>
      <c r="F103" s="95" t="str">
        <f t="shared" si="11"/>
        <v>Marzo</v>
      </c>
      <c r="G103" s="95" t="str">
        <f t="shared" si="11"/>
        <v>Abril</v>
      </c>
      <c r="H103" s="95" t="str">
        <f t="shared" si="11"/>
        <v>Mayo</v>
      </c>
      <c r="I103" s="95" t="str">
        <f t="shared" si="11"/>
        <v>Junio</v>
      </c>
      <c r="J103" s="95" t="str">
        <f t="shared" si="11"/>
        <v>Julio</v>
      </c>
      <c r="K103" s="95" t="str">
        <f t="shared" si="11"/>
        <v>Agosto</v>
      </c>
      <c r="L103" s="95" t="str">
        <f t="shared" si="11"/>
        <v>Sept.</v>
      </c>
      <c r="M103" s="95" t="str">
        <f t="shared" si="11"/>
        <v>Oct.</v>
      </c>
      <c r="N103" s="95" t="str">
        <f t="shared" si="11"/>
        <v>Nov.</v>
      </c>
      <c r="O103" s="95" t="str">
        <f t="shared" si="11"/>
        <v>Dic.</v>
      </c>
      <c r="P103" s="96" t="s">
        <v>108</v>
      </c>
    </row>
    <row r="104" spans="1:16" ht="12.75" customHeight="1" x14ac:dyDescent="0.2">
      <c r="A104" s="97">
        <v>1</v>
      </c>
      <c r="B104" s="178" t="str">
        <f>Productos!B21</f>
        <v>Leche</v>
      </c>
      <c r="C104" s="179"/>
      <c r="D104" s="124">
        <f>D95*Productos!$D21</f>
        <v>54351000</v>
      </c>
      <c r="E104" s="124">
        <f>E95*Productos!$D21</f>
        <v>50481000</v>
      </c>
      <c r="F104" s="124">
        <f>F95*Productos!$D21</f>
        <v>42075000</v>
      </c>
      <c r="G104" s="124">
        <f>G95*Productos!$D21</f>
        <v>27828000</v>
      </c>
      <c r="H104" s="124">
        <f>H95*Productos!$D21</f>
        <v>21942000</v>
      </c>
      <c r="I104" s="124">
        <f>I95*Productos!$D21</f>
        <v>20637000</v>
      </c>
      <c r="J104" s="124">
        <f>J95*Productos!$D21</f>
        <v>15345000</v>
      </c>
      <c r="K104" s="124">
        <f>K95*Productos!$D21</f>
        <v>15210000</v>
      </c>
      <c r="L104" s="124">
        <f>L95*Productos!$D21</f>
        <v>30258000</v>
      </c>
      <c r="M104" s="124">
        <f>M95*Productos!$D21</f>
        <v>45792000</v>
      </c>
      <c r="N104" s="124">
        <f>N95*Productos!$D21</f>
        <v>58212000</v>
      </c>
      <c r="O104" s="124">
        <f>O95*Productos!$D21</f>
        <v>55389600</v>
      </c>
      <c r="P104" s="133">
        <f t="shared" ref="P104:P108" si="12">SUM(D104:O104)</f>
        <v>437520600</v>
      </c>
    </row>
    <row r="105" spans="1:16" ht="12.75" customHeight="1" x14ac:dyDescent="0.2">
      <c r="A105" s="97">
        <v>2</v>
      </c>
      <c r="B105" s="178" t="str">
        <f>Productos!B22</f>
        <v>Crema</v>
      </c>
      <c r="C105" s="180"/>
      <c r="D105" s="124">
        <f>D96*Productos!$D22</f>
        <v>32062500</v>
      </c>
      <c r="E105" s="124">
        <f>E96*Productos!$D22</f>
        <v>30037500</v>
      </c>
      <c r="F105" s="124">
        <f>F96*Productos!$D22</f>
        <v>25537500</v>
      </c>
      <c r="G105" s="124">
        <f>G96*Productos!$D22</f>
        <v>16875000</v>
      </c>
      <c r="H105" s="124">
        <f>H96*Productos!$D22</f>
        <v>13950000</v>
      </c>
      <c r="I105" s="124">
        <f>I96*Productos!$D22</f>
        <v>13275000</v>
      </c>
      <c r="J105" s="124">
        <f>J96*Productos!$D22</f>
        <v>11587500</v>
      </c>
      <c r="K105" s="124">
        <f>K96*Productos!$D22</f>
        <v>11475000</v>
      </c>
      <c r="L105" s="124">
        <f>L96*Productos!$D22</f>
        <v>19125000</v>
      </c>
      <c r="M105" s="124">
        <f>M96*Productos!$D22</f>
        <v>27000000</v>
      </c>
      <c r="N105" s="124">
        <f>N96*Productos!$D22</f>
        <v>33187500</v>
      </c>
      <c r="O105" s="124">
        <f>O96*Productos!$D22</f>
        <v>31603500</v>
      </c>
      <c r="P105" s="133">
        <f t="shared" si="12"/>
        <v>265716000</v>
      </c>
    </row>
    <row r="106" spans="1:16" ht="12.75" customHeight="1" x14ac:dyDescent="0.2">
      <c r="A106" s="97">
        <v>3</v>
      </c>
      <c r="B106" s="178" t="str">
        <f>Productos!B23</f>
        <v>Azucar</v>
      </c>
      <c r="C106" s="180"/>
      <c r="D106" s="124">
        <f>D97*Productos!$D23</f>
        <v>23475000</v>
      </c>
      <c r="E106" s="124">
        <f>E97*Productos!$D23</f>
        <v>22125000</v>
      </c>
      <c r="F106" s="124">
        <f>F97*Productos!$D23</f>
        <v>18675000</v>
      </c>
      <c r="G106" s="124">
        <f>G97*Productos!$D23</f>
        <v>12600000</v>
      </c>
      <c r="H106" s="124">
        <f>H97*Productos!$D23</f>
        <v>10275000</v>
      </c>
      <c r="I106" s="124">
        <f>I97*Productos!$D23</f>
        <v>9825000</v>
      </c>
      <c r="J106" s="124">
        <f>J97*Productos!$D23</f>
        <v>7725000</v>
      </c>
      <c r="K106" s="124">
        <f>K97*Productos!$D23</f>
        <v>7650000</v>
      </c>
      <c r="L106" s="124">
        <f>L97*Productos!$D23</f>
        <v>13725000</v>
      </c>
      <c r="M106" s="124">
        <f>M97*Productos!$D23</f>
        <v>20025000</v>
      </c>
      <c r="N106" s="124">
        <f>N97*Productos!$D23</f>
        <v>24975000</v>
      </c>
      <c r="O106" s="124">
        <f>O97*Productos!$D23</f>
        <v>23919000</v>
      </c>
      <c r="P106" s="133">
        <f t="shared" si="12"/>
        <v>194994000</v>
      </c>
    </row>
    <row r="107" spans="1:16" ht="12.75" customHeight="1" x14ac:dyDescent="0.2">
      <c r="A107" s="97">
        <v>4</v>
      </c>
      <c r="B107" s="178" t="str">
        <f>Productos!B24</f>
        <v>Frutas y secos</v>
      </c>
      <c r="C107" s="180"/>
      <c r="D107" s="124">
        <f>D98*Productos!$D24</f>
        <v>23400000</v>
      </c>
      <c r="E107" s="124">
        <f>E98*Productos!$D24</f>
        <v>20800000</v>
      </c>
      <c r="F107" s="124">
        <f>F98*Productos!$D24</f>
        <v>18000000</v>
      </c>
      <c r="G107" s="124">
        <f>G98*Productos!$D24</f>
        <v>11800000</v>
      </c>
      <c r="H107" s="124">
        <f>H98*Productos!$D24</f>
        <v>9600000</v>
      </c>
      <c r="I107" s="124">
        <f>I98*Productos!$D24</f>
        <v>7800000</v>
      </c>
      <c r="J107" s="124">
        <f>J98*Productos!$D24</f>
        <v>6800000</v>
      </c>
      <c r="K107" s="124">
        <f>K98*Productos!$D24</f>
        <v>8200000</v>
      </c>
      <c r="L107" s="124">
        <f>L98*Productos!$D24</f>
        <v>13000000</v>
      </c>
      <c r="M107" s="124">
        <f>M98*Productos!$D24</f>
        <v>18800000</v>
      </c>
      <c r="N107" s="124">
        <f>N98*Productos!$D24</f>
        <v>23600000</v>
      </c>
      <c r="O107" s="124">
        <f>O98*Productos!$D24</f>
        <v>23680000</v>
      </c>
      <c r="P107" s="133">
        <f t="shared" si="12"/>
        <v>185480000</v>
      </c>
    </row>
    <row r="108" spans="1:16" ht="13.5" customHeight="1" x14ac:dyDescent="0.2">
      <c r="A108" s="134">
        <v>5</v>
      </c>
      <c r="B108" s="181" t="str">
        <f>Productos!B25</f>
        <v>Otros</v>
      </c>
      <c r="C108" s="182"/>
      <c r="D108" s="183">
        <f>D99*Productos!$D25</f>
        <v>89250000</v>
      </c>
      <c r="E108" s="183">
        <f>E99*Productos!$D25</f>
        <v>77950000</v>
      </c>
      <c r="F108" s="183">
        <f>F99*Productos!$D25</f>
        <v>62850000</v>
      </c>
      <c r="G108" s="183">
        <f>G99*Productos!$D25</f>
        <v>36400000</v>
      </c>
      <c r="H108" s="183">
        <f>H99*Productos!$D25</f>
        <v>25050000</v>
      </c>
      <c r="I108" s="183">
        <f>I99*Productos!$D25</f>
        <v>22150000</v>
      </c>
      <c r="J108" s="183">
        <f>J99*Productos!$D25</f>
        <v>15550000</v>
      </c>
      <c r="K108" s="183">
        <f>K99*Productos!$D25</f>
        <v>15500000</v>
      </c>
      <c r="L108" s="183">
        <f>L99*Productos!$D25</f>
        <v>42950000</v>
      </c>
      <c r="M108" s="183">
        <f>M99*Productos!$D25</f>
        <v>70950000</v>
      </c>
      <c r="N108" s="183">
        <f>N99*Productos!$D25</f>
        <v>94250000</v>
      </c>
      <c r="O108" s="183">
        <f>O99*Productos!$D25</f>
        <v>86890000</v>
      </c>
      <c r="P108" s="137">
        <f t="shared" si="12"/>
        <v>639740000</v>
      </c>
    </row>
    <row r="109" spans="1:16" ht="14.25" customHeight="1" x14ac:dyDescent="0.2">
      <c r="A109" s="25"/>
      <c r="B109" s="184" t="s">
        <v>125</v>
      </c>
      <c r="C109" s="185"/>
      <c r="D109" s="126">
        <f t="shared" ref="D109:P109" si="13">SUM(D104:D108)</f>
        <v>222538500</v>
      </c>
      <c r="E109" s="126">
        <f t="shared" si="13"/>
        <v>201393500</v>
      </c>
      <c r="F109" s="126">
        <f t="shared" si="13"/>
        <v>167137500</v>
      </c>
      <c r="G109" s="126">
        <f t="shared" si="13"/>
        <v>105503000</v>
      </c>
      <c r="H109" s="126">
        <f t="shared" si="13"/>
        <v>80817000</v>
      </c>
      <c r="I109" s="126">
        <f t="shared" si="13"/>
        <v>73687000</v>
      </c>
      <c r="J109" s="126">
        <f t="shared" si="13"/>
        <v>57007500</v>
      </c>
      <c r="K109" s="126">
        <f t="shared" si="13"/>
        <v>58035000</v>
      </c>
      <c r="L109" s="126">
        <f t="shared" si="13"/>
        <v>119058000</v>
      </c>
      <c r="M109" s="126">
        <f t="shared" si="13"/>
        <v>182567000</v>
      </c>
      <c r="N109" s="126">
        <f t="shared" si="13"/>
        <v>234224500</v>
      </c>
      <c r="O109" s="126">
        <f t="shared" si="13"/>
        <v>221482100</v>
      </c>
      <c r="P109" s="139">
        <f t="shared" si="13"/>
        <v>1723450600</v>
      </c>
    </row>
    <row r="110" spans="1:16" ht="12.75" customHeight="1" x14ac:dyDescent="0.2"/>
    <row r="111" spans="1:16" ht="12.75" customHeight="1" x14ac:dyDescent="0.2"/>
    <row r="112" spans="1:16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000"/>
  <sheetViews>
    <sheetView workbookViewId="0"/>
  </sheetViews>
  <sheetFormatPr baseColWidth="10" defaultColWidth="12.5703125" defaultRowHeight="15" customHeight="1" x14ac:dyDescent="0.2"/>
  <cols>
    <col min="1" max="1" width="3.7109375" customWidth="1"/>
    <col min="2" max="2" width="30.7109375" customWidth="1"/>
    <col min="3" max="7" width="10.140625" customWidth="1"/>
    <col min="8" max="14" width="8.7109375" customWidth="1"/>
    <col min="15" max="26" width="10" customWidth="1"/>
  </cols>
  <sheetData>
    <row r="1" spans="1:15" ht="20.25" customHeight="1" x14ac:dyDescent="0.3">
      <c r="A1" s="6"/>
      <c r="L1" s="7" t="str">
        <f>Productos!G1</f>
        <v>Heladería DANG</v>
      </c>
    </row>
    <row r="2" spans="1:15" ht="13.5" customHeight="1" x14ac:dyDescent="0.2"/>
    <row r="3" spans="1:15" ht="13.5" customHeight="1" x14ac:dyDescent="0.2">
      <c r="B3" s="12" t="s">
        <v>126</v>
      </c>
      <c r="C3" s="14" t="str">
        <f>Ventas!C3</f>
        <v>Enero</v>
      </c>
      <c r="D3" s="14" t="str">
        <f>Ventas!D3</f>
        <v>Febrero</v>
      </c>
      <c r="E3" s="14" t="str">
        <f>Ventas!E3</f>
        <v>Marzo</v>
      </c>
      <c r="F3" s="14" t="str">
        <f>Ventas!F3</f>
        <v>Abril</v>
      </c>
      <c r="G3" s="14" t="str">
        <f>Ventas!G3</f>
        <v>Mayo</v>
      </c>
      <c r="H3" s="14" t="str">
        <f>Ventas!H3</f>
        <v>Junio</v>
      </c>
      <c r="I3" s="14" t="str">
        <f>Ventas!I3</f>
        <v>Julio</v>
      </c>
      <c r="J3" s="14" t="str">
        <f>Ventas!J3</f>
        <v>Agosto</v>
      </c>
      <c r="K3" s="14" t="str">
        <f>Ventas!K3</f>
        <v>Sept.</v>
      </c>
      <c r="L3" s="14" t="str">
        <f>Ventas!L3</f>
        <v>Oct.</v>
      </c>
      <c r="M3" s="14" t="str">
        <f>Ventas!M3</f>
        <v>Nov.</v>
      </c>
      <c r="N3" s="14" t="str">
        <f>Ventas!N3</f>
        <v>Dic.</v>
      </c>
      <c r="O3" s="155" t="s">
        <v>99</v>
      </c>
    </row>
    <row r="4" spans="1:15" ht="12.75" customHeight="1" x14ac:dyDescent="0.2">
      <c r="B4" s="186" t="s">
        <v>71</v>
      </c>
      <c r="C4" s="187">
        <f>Consumos!D109</f>
        <v>222538500</v>
      </c>
      <c r="D4" s="187">
        <f>Consumos!E109</f>
        <v>201393500</v>
      </c>
      <c r="E4" s="187">
        <f>Consumos!F109</f>
        <v>167137500</v>
      </c>
      <c r="F4" s="187">
        <f>Consumos!G109</f>
        <v>105503000</v>
      </c>
      <c r="G4" s="187">
        <f>Consumos!H109</f>
        <v>80817000</v>
      </c>
      <c r="H4" s="187">
        <f>Consumos!I109</f>
        <v>73687000</v>
      </c>
      <c r="I4" s="187">
        <f>Consumos!J109</f>
        <v>57007500</v>
      </c>
      <c r="J4" s="187">
        <f>Consumos!K109</f>
        <v>58035000</v>
      </c>
      <c r="K4" s="187">
        <f>Consumos!L109</f>
        <v>119058000</v>
      </c>
      <c r="L4" s="187">
        <f>Consumos!M109</f>
        <v>182567000</v>
      </c>
      <c r="M4" s="187">
        <f>Consumos!N109</f>
        <v>234224500</v>
      </c>
      <c r="N4" s="187">
        <f>Consumos!O109</f>
        <v>221482100</v>
      </c>
      <c r="O4" s="188">
        <f t="shared" ref="O4:O13" si="0">SUM(C4:N4)</f>
        <v>1723450600</v>
      </c>
    </row>
    <row r="5" spans="1:15" ht="12.75" customHeight="1" x14ac:dyDescent="0.2">
      <c r="B5" s="186" t="s">
        <v>127</v>
      </c>
      <c r="C5" s="189">
        <v>7000000</v>
      </c>
      <c r="D5" s="189">
        <v>7000000</v>
      </c>
      <c r="E5" s="189">
        <v>7000000</v>
      </c>
      <c r="F5" s="189">
        <v>7000000</v>
      </c>
      <c r="G5" s="189">
        <v>7000000</v>
      </c>
      <c r="H5" s="189">
        <v>7000000</v>
      </c>
      <c r="I5" s="189">
        <v>7000000</v>
      </c>
      <c r="J5" s="189">
        <v>7000000</v>
      </c>
      <c r="K5" s="189">
        <v>7000000</v>
      </c>
      <c r="L5" s="189">
        <v>7000000</v>
      </c>
      <c r="M5" s="189">
        <v>7000000</v>
      </c>
      <c r="N5" s="189">
        <v>7000000</v>
      </c>
      <c r="O5" s="188">
        <f t="shared" si="0"/>
        <v>84000000</v>
      </c>
    </row>
    <row r="6" spans="1:15" ht="12.75" customHeight="1" x14ac:dyDescent="0.2">
      <c r="B6" s="186" t="s">
        <v>128</v>
      </c>
      <c r="C6" s="189">
        <f t="shared" ref="C6:N6" si="1">C5*0.205</f>
        <v>1435000</v>
      </c>
      <c r="D6" s="189">
        <f t="shared" si="1"/>
        <v>1435000</v>
      </c>
      <c r="E6" s="189">
        <f t="shared" si="1"/>
        <v>1435000</v>
      </c>
      <c r="F6" s="189">
        <f t="shared" si="1"/>
        <v>1435000</v>
      </c>
      <c r="G6" s="189">
        <f t="shared" si="1"/>
        <v>1435000</v>
      </c>
      <c r="H6" s="189">
        <f t="shared" si="1"/>
        <v>1435000</v>
      </c>
      <c r="I6" s="189">
        <f t="shared" si="1"/>
        <v>1435000</v>
      </c>
      <c r="J6" s="189">
        <f t="shared" si="1"/>
        <v>1435000</v>
      </c>
      <c r="K6" s="189">
        <f t="shared" si="1"/>
        <v>1435000</v>
      </c>
      <c r="L6" s="189">
        <f t="shared" si="1"/>
        <v>1435000</v>
      </c>
      <c r="M6" s="189">
        <f t="shared" si="1"/>
        <v>1435000</v>
      </c>
      <c r="N6" s="189">
        <f t="shared" si="1"/>
        <v>1435000</v>
      </c>
      <c r="O6" s="188">
        <f t="shared" si="0"/>
        <v>17220000</v>
      </c>
    </row>
    <row r="7" spans="1:15" ht="12.75" customHeight="1" x14ac:dyDescent="0.2">
      <c r="B7" s="156" t="s">
        <v>129</v>
      </c>
      <c r="C7" s="189">
        <v>75000</v>
      </c>
      <c r="D7" s="189">
        <v>85000</v>
      </c>
      <c r="E7" s="189">
        <v>100000</v>
      </c>
      <c r="F7" s="189">
        <v>78000</v>
      </c>
      <c r="G7" s="189">
        <v>80000</v>
      </c>
      <c r="H7" s="189">
        <v>76000</v>
      </c>
      <c r="I7" s="189">
        <v>80000</v>
      </c>
      <c r="J7" s="189">
        <v>96000</v>
      </c>
      <c r="K7" s="189">
        <v>72000</v>
      </c>
      <c r="L7" s="189">
        <v>75000</v>
      </c>
      <c r="M7" s="189">
        <v>75000</v>
      </c>
      <c r="N7" s="189">
        <v>75000</v>
      </c>
      <c r="O7" s="188">
        <f t="shared" si="0"/>
        <v>967000</v>
      </c>
    </row>
    <row r="8" spans="1:15" ht="12.75" customHeight="1" x14ac:dyDescent="0.2">
      <c r="B8" s="156" t="s">
        <v>130</v>
      </c>
      <c r="C8" s="189">
        <v>150000</v>
      </c>
      <c r="D8" s="189">
        <v>150000</v>
      </c>
      <c r="E8" s="189">
        <v>150000</v>
      </c>
      <c r="F8" s="189">
        <v>150000</v>
      </c>
      <c r="G8" s="189">
        <v>150000</v>
      </c>
      <c r="H8" s="189">
        <v>150000</v>
      </c>
      <c r="I8" s="189">
        <v>150000</v>
      </c>
      <c r="J8" s="189">
        <v>150000</v>
      </c>
      <c r="K8" s="189">
        <v>150000</v>
      </c>
      <c r="L8" s="189">
        <v>150000</v>
      </c>
      <c r="M8" s="189">
        <v>150000</v>
      </c>
      <c r="N8" s="189">
        <v>150000</v>
      </c>
      <c r="O8" s="188">
        <f t="shared" si="0"/>
        <v>1800000</v>
      </c>
    </row>
    <row r="9" spans="1:15" ht="12.75" customHeight="1" x14ac:dyDescent="0.2">
      <c r="B9" s="156" t="s">
        <v>131</v>
      </c>
      <c r="C9" s="189">
        <v>300000</v>
      </c>
      <c r="D9" s="189">
        <v>300000</v>
      </c>
      <c r="E9" s="189">
        <v>300000</v>
      </c>
      <c r="F9" s="189">
        <v>300000</v>
      </c>
      <c r="G9" s="189">
        <v>300000</v>
      </c>
      <c r="H9" s="189">
        <v>300000</v>
      </c>
      <c r="I9" s="189">
        <v>300000</v>
      </c>
      <c r="J9" s="189">
        <v>300000</v>
      </c>
      <c r="K9" s="189">
        <v>300000</v>
      </c>
      <c r="L9" s="189">
        <v>300000</v>
      </c>
      <c r="M9" s="189">
        <v>300000</v>
      </c>
      <c r="N9" s="189">
        <v>300000</v>
      </c>
      <c r="O9" s="188">
        <f t="shared" si="0"/>
        <v>3600000</v>
      </c>
    </row>
    <row r="10" spans="1:15" ht="12.75" customHeight="1" x14ac:dyDescent="0.2">
      <c r="B10" s="156" t="s">
        <v>132</v>
      </c>
      <c r="C10" s="189">
        <v>200000</v>
      </c>
      <c r="D10" s="189">
        <v>200000</v>
      </c>
      <c r="E10" s="189">
        <v>200000</v>
      </c>
      <c r="F10" s="189">
        <v>200000</v>
      </c>
      <c r="G10" s="189">
        <v>200000</v>
      </c>
      <c r="H10" s="189">
        <v>200000</v>
      </c>
      <c r="I10" s="189">
        <v>200000</v>
      </c>
      <c r="J10" s="189">
        <v>200000</v>
      </c>
      <c r="K10" s="189">
        <v>200000</v>
      </c>
      <c r="L10" s="189">
        <v>200000</v>
      </c>
      <c r="M10" s="189">
        <v>200000</v>
      </c>
      <c r="N10" s="189">
        <v>200000</v>
      </c>
      <c r="O10" s="188">
        <f t="shared" si="0"/>
        <v>2400000</v>
      </c>
    </row>
    <row r="11" spans="1:15" ht="12.75" customHeight="1" x14ac:dyDescent="0.2">
      <c r="B11" s="156" t="s">
        <v>6</v>
      </c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8">
        <f t="shared" si="0"/>
        <v>0</v>
      </c>
    </row>
    <row r="12" spans="1:15" ht="12.75" customHeight="1" x14ac:dyDescent="0.2">
      <c r="B12" s="156" t="s">
        <v>6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8">
        <f t="shared" si="0"/>
        <v>0</v>
      </c>
    </row>
    <row r="13" spans="1:15" ht="13.5" customHeight="1" x14ac:dyDescent="0.2">
      <c r="B13" s="186" t="s">
        <v>133</v>
      </c>
      <c r="C13" s="190">
        <f>+Inversiones!F24</f>
        <v>58333.333333333328</v>
      </c>
      <c r="D13" s="190">
        <f t="shared" ref="D13:N13" si="2">+C13</f>
        <v>58333.333333333328</v>
      </c>
      <c r="E13" s="190">
        <f t="shared" si="2"/>
        <v>58333.333333333328</v>
      </c>
      <c r="F13" s="190">
        <f t="shared" si="2"/>
        <v>58333.333333333328</v>
      </c>
      <c r="G13" s="190">
        <f t="shared" si="2"/>
        <v>58333.333333333328</v>
      </c>
      <c r="H13" s="190">
        <f t="shared" si="2"/>
        <v>58333.333333333328</v>
      </c>
      <c r="I13" s="190">
        <f t="shared" si="2"/>
        <v>58333.333333333328</v>
      </c>
      <c r="J13" s="190">
        <f t="shared" si="2"/>
        <v>58333.333333333328</v>
      </c>
      <c r="K13" s="190">
        <f t="shared" si="2"/>
        <v>58333.333333333328</v>
      </c>
      <c r="L13" s="190">
        <f t="shared" si="2"/>
        <v>58333.333333333328</v>
      </c>
      <c r="M13" s="190">
        <f t="shared" si="2"/>
        <v>58333.333333333328</v>
      </c>
      <c r="N13" s="190">
        <f t="shared" si="2"/>
        <v>58333.333333333328</v>
      </c>
      <c r="O13" s="188">
        <f t="shared" si="0"/>
        <v>700000</v>
      </c>
    </row>
    <row r="14" spans="1:15" ht="14.25" customHeight="1" x14ac:dyDescent="0.2">
      <c r="B14" s="191" t="s">
        <v>134</v>
      </c>
      <c r="C14" s="192">
        <f t="shared" ref="C14:O14" si="3">SUM(C4:C13)</f>
        <v>231756833.33333334</v>
      </c>
      <c r="D14" s="192">
        <f t="shared" si="3"/>
        <v>210621833.33333334</v>
      </c>
      <c r="E14" s="192">
        <f t="shared" si="3"/>
        <v>176380833.33333334</v>
      </c>
      <c r="F14" s="192">
        <f t="shared" si="3"/>
        <v>114724333.33333333</v>
      </c>
      <c r="G14" s="192">
        <f t="shared" si="3"/>
        <v>90040333.333333328</v>
      </c>
      <c r="H14" s="192">
        <f t="shared" si="3"/>
        <v>82906333.333333328</v>
      </c>
      <c r="I14" s="192">
        <f t="shared" si="3"/>
        <v>66230833.333333336</v>
      </c>
      <c r="J14" s="192">
        <f t="shared" si="3"/>
        <v>67274333.333333328</v>
      </c>
      <c r="K14" s="192">
        <f t="shared" si="3"/>
        <v>128273333.33333333</v>
      </c>
      <c r="L14" s="192">
        <f t="shared" si="3"/>
        <v>191785333.33333334</v>
      </c>
      <c r="M14" s="192">
        <f t="shared" si="3"/>
        <v>243442833.33333334</v>
      </c>
      <c r="N14" s="192">
        <f t="shared" si="3"/>
        <v>230700433.33333334</v>
      </c>
      <c r="O14" s="193">
        <f t="shared" si="3"/>
        <v>1834137600</v>
      </c>
    </row>
    <row r="15" spans="1:15" ht="12.75" customHeight="1" x14ac:dyDescent="0.2"/>
    <row r="16" spans="1:15" ht="13.5" customHeight="1" x14ac:dyDescent="0.2"/>
    <row r="17" spans="2:15" ht="13.5" customHeight="1" x14ac:dyDescent="0.2">
      <c r="B17" s="12" t="s">
        <v>126</v>
      </c>
      <c r="C17" s="14">
        <f>Ventas!C16</f>
        <v>2022</v>
      </c>
      <c r="D17" s="14">
        <f>Ventas!D16</f>
        <v>2023</v>
      </c>
      <c r="E17" s="14">
        <f>Ventas!E16</f>
        <v>2024</v>
      </c>
      <c r="F17" s="14">
        <f>Ventas!F16</f>
        <v>2025</v>
      </c>
      <c r="G17" s="15">
        <f>Ventas!G16</f>
        <v>2026</v>
      </c>
    </row>
    <row r="18" spans="2:15" ht="12.75" customHeight="1" x14ac:dyDescent="0.2">
      <c r="B18" s="186" t="str">
        <f>B4</f>
        <v>Materias Primas e Insumos</v>
      </c>
      <c r="C18" s="187">
        <f>O4</f>
        <v>1723450600</v>
      </c>
      <c r="D18" s="187">
        <f>Ventas!D68</f>
        <v>1771444166</v>
      </c>
      <c r="E18" s="187">
        <f>Ventas!E68</f>
        <v>1933129537.5999999</v>
      </c>
      <c r="F18" s="187">
        <f>Ventas!F68</f>
        <v>2103059068.8600001</v>
      </c>
      <c r="G18" s="194">
        <f>Ventas!G68</f>
        <v>1758398016</v>
      </c>
    </row>
    <row r="19" spans="2:15" ht="12.75" customHeight="1" x14ac:dyDescent="0.2">
      <c r="B19" s="186" t="str">
        <f t="shared" ref="B19:B27" si="4">+B5</f>
        <v>Mano de Obra</v>
      </c>
      <c r="C19" s="187">
        <f t="shared" ref="C19:C26" si="5">+O5</f>
        <v>84000000</v>
      </c>
      <c r="D19" s="189">
        <v>86000000</v>
      </c>
      <c r="E19" s="189">
        <v>90000000</v>
      </c>
      <c r="F19" s="189">
        <v>95000000</v>
      </c>
      <c r="G19" s="195">
        <v>100000000</v>
      </c>
    </row>
    <row r="20" spans="2:15" ht="12.75" customHeight="1" x14ac:dyDescent="0.2">
      <c r="B20" s="186" t="str">
        <f t="shared" si="4"/>
        <v>Cargas Sociales</v>
      </c>
      <c r="C20" s="187">
        <f t="shared" si="5"/>
        <v>17220000</v>
      </c>
      <c r="D20" s="189">
        <f t="shared" ref="D20:G20" si="6">D19*0.205</f>
        <v>17630000</v>
      </c>
      <c r="E20" s="189">
        <f t="shared" si="6"/>
        <v>18450000</v>
      </c>
      <c r="F20" s="189">
        <f t="shared" si="6"/>
        <v>19475000</v>
      </c>
      <c r="G20" s="188">
        <f t="shared" si="6"/>
        <v>20500000</v>
      </c>
    </row>
    <row r="21" spans="2:15" ht="12.75" customHeight="1" x14ac:dyDescent="0.2">
      <c r="B21" s="156" t="str">
        <f t="shared" si="4"/>
        <v>Electricidad y Gas</v>
      </c>
      <c r="C21" s="187">
        <f t="shared" si="5"/>
        <v>967000</v>
      </c>
      <c r="D21" s="189">
        <v>980000</v>
      </c>
      <c r="E21" s="189">
        <v>995000</v>
      </c>
      <c r="F21" s="189">
        <v>1000000</v>
      </c>
      <c r="G21" s="188">
        <v>1200000</v>
      </c>
    </row>
    <row r="22" spans="2:15" ht="12.75" customHeight="1" x14ac:dyDescent="0.2">
      <c r="B22" s="156" t="str">
        <f t="shared" si="4"/>
        <v>Mantenimiento</v>
      </c>
      <c r="C22" s="187">
        <f t="shared" si="5"/>
        <v>1800000</v>
      </c>
      <c r="D22" s="189">
        <v>1890000</v>
      </c>
      <c r="E22" s="189">
        <v>1900000</v>
      </c>
      <c r="F22" s="189">
        <v>1950000</v>
      </c>
      <c r="G22" s="188">
        <v>1980000</v>
      </c>
    </row>
    <row r="23" spans="2:15" ht="12.75" customHeight="1" x14ac:dyDescent="0.2">
      <c r="B23" s="156" t="str">
        <f t="shared" si="4"/>
        <v>Seguros</v>
      </c>
      <c r="C23" s="187">
        <f t="shared" si="5"/>
        <v>3600000</v>
      </c>
      <c r="D23" s="189">
        <v>3600000</v>
      </c>
      <c r="E23" s="189">
        <v>3600000</v>
      </c>
      <c r="F23" s="189">
        <v>3600000</v>
      </c>
      <c r="G23" s="188">
        <v>3600000</v>
      </c>
    </row>
    <row r="24" spans="2:15" ht="12.75" customHeight="1" x14ac:dyDescent="0.2">
      <c r="B24" s="156" t="str">
        <f t="shared" si="4"/>
        <v>Varios</v>
      </c>
      <c r="C24" s="187">
        <f t="shared" si="5"/>
        <v>2400000</v>
      </c>
      <c r="D24" s="189">
        <v>2400000</v>
      </c>
      <c r="E24" s="189">
        <v>2400000</v>
      </c>
      <c r="F24" s="189">
        <v>2400000</v>
      </c>
      <c r="G24" s="188">
        <v>2400000</v>
      </c>
    </row>
    <row r="25" spans="2:15" ht="12.75" customHeight="1" x14ac:dyDescent="0.2">
      <c r="B25" s="156" t="str">
        <f t="shared" si="4"/>
        <v xml:space="preserve"> </v>
      </c>
      <c r="C25" s="187">
        <f t="shared" si="5"/>
        <v>0</v>
      </c>
      <c r="D25" s="189"/>
      <c r="E25" s="189"/>
      <c r="F25" s="189"/>
      <c r="G25" s="188"/>
    </row>
    <row r="26" spans="2:15" ht="12.75" customHeight="1" x14ac:dyDescent="0.2">
      <c r="B26" s="156" t="str">
        <f t="shared" si="4"/>
        <v xml:space="preserve"> </v>
      </c>
      <c r="C26" s="187">
        <f t="shared" si="5"/>
        <v>0</v>
      </c>
      <c r="D26" s="189"/>
      <c r="E26" s="189"/>
      <c r="F26" s="189"/>
      <c r="G26" s="188"/>
    </row>
    <row r="27" spans="2:15" ht="13.5" customHeight="1" x14ac:dyDescent="0.2">
      <c r="B27" s="186" t="str">
        <f t="shared" si="4"/>
        <v>Amortización Bienes de Uso</v>
      </c>
      <c r="C27" s="187">
        <f>Inversiones!G24</f>
        <v>700000</v>
      </c>
      <c r="D27" s="187">
        <f>Inversiones!H24</f>
        <v>700000</v>
      </c>
      <c r="E27" s="187">
        <f>Inversiones!I24</f>
        <v>700000</v>
      </c>
      <c r="F27" s="187">
        <f>Inversiones!J24</f>
        <v>700000</v>
      </c>
      <c r="G27" s="196">
        <f>Inversiones!K24</f>
        <v>700000</v>
      </c>
    </row>
    <row r="28" spans="2:15" ht="14.25" customHeight="1" x14ac:dyDescent="0.2">
      <c r="B28" s="191" t="s">
        <v>134</v>
      </c>
      <c r="C28" s="192">
        <f t="shared" ref="C28:G28" si="7">SUM(C18:C27)</f>
        <v>1834137600</v>
      </c>
      <c r="D28" s="192">
        <f t="shared" si="7"/>
        <v>1884644166</v>
      </c>
      <c r="E28" s="192">
        <f t="shared" si="7"/>
        <v>2051174537.5999999</v>
      </c>
      <c r="F28" s="192">
        <f t="shared" si="7"/>
        <v>2227184068.8600001</v>
      </c>
      <c r="G28" s="193">
        <f t="shared" si="7"/>
        <v>1888778016</v>
      </c>
    </row>
    <row r="29" spans="2:15" ht="13.5" customHeight="1" x14ac:dyDescent="0.2"/>
    <row r="30" spans="2:15" ht="13.5" customHeight="1" x14ac:dyDescent="0.2">
      <c r="B30" s="12" t="s">
        <v>135</v>
      </c>
      <c r="C30" s="14" t="str">
        <f>Ventas!C3</f>
        <v>Enero</v>
      </c>
      <c r="D30" s="14" t="str">
        <f>Ventas!D3</f>
        <v>Febrero</v>
      </c>
      <c r="E30" s="14" t="str">
        <f>Ventas!E3</f>
        <v>Marzo</v>
      </c>
      <c r="F30" s="14" t="str">
        <f>Ventas!F3</f>
        <v>Abril</v>
      </c>
      <c r="G30" s="14" t="str">
        <f>Ventas!G3</f>
        <v>Mayo</v>
      </c>
      <c r="H30" s="14" t="str">
        <f>Ventas!H3</f>
        <v>Junio</v>
      </c>
      <c r="I30" s="14" t="str">
        <f>Ventas!I3</f>
        <v>Julio</v>
      </c>
      <c r="J30" s="14" t="str">
        <f>Ventas!J3</f>
        <v>Agosto</v>
      </c>
      <c r="K30" s="14" t="str">
        <f>Ventas!K3</f>
        <v>Sept.</v>
      </c>
      <c r="L30" s="14" t="str">
        <f>Ventas!L3</f>
        <v>Oct.</v>
      </c>
      <c r="M30" s="14" t="str">
        <f>Ventas!M3</f>
        <v>Nov.</v>
      </c>
      <c r="N30" s="14" t="str">
        <f>Ventas!N3</f>
        <v>Dic.</v>
      </c>
      <c r="O30" s="155" t="s">
        <v>99</v>
      </c>
    </row>
    <row r="31" spans="2:15" ht="12.75" customHeight="1" x14ac:dyDescent="0.2">
      <c r="B31" s="186" t="s">
        <v>136</v>
      </c>
      <c r="C31" s="189">
        <v>1500000</v>
      </c>
      <c r="D31" s="189">
        <v>1500000</v>
      </c>
      <c r="E31" s="189">
        <v>1500000</v>
      </c>
      <c r="F31" s="189">
        <v>1500000</v>
      </c>
      <c r="G31" s="189">
        <v>1500000</v>
      </c>
      <c r="H31" s="189">
        <v>1500000</v>
      </c>
      <c r="I31" s="189">
        <v>1500000</v>
      </c>
      <c r="J31" s="189">
        <v>1500000</v>
      </c>
      <c r="K31" s="189">
        <v>1500000</v>
      </c>
      <c r="L31" s="189">
        <v>1500000</v>
      </c>
      <c r="M31" s="189">
        <v>1500000</v>
      </c>
      <c r="N31" s="189">
        <v>1500000</v>
      </c>
      <c r="O31" s="188">
        <f t="shared" ref="O31:O40" si="8">SUM(C31:N31)</f>
        <v>18000000</v>
      </c>
    </row>
    <row r="32" spans="2:15" ht="12.75" customHeight="1" x14ac:dyDescent="0.2">
      <c r="B32" s="186" t="s">
        <v>137</v>
      </c>
      <c r="C32" s="189">
        <v>200000</v>
      </c>
      <c r="D32" s="189">
        <v>200000</v>
      </c>
      <c r="E32" s="189">
        <v>200000</v>
      </c>
      <c r="F32" s="189">
        <v>200000</v>
      </c>
      <c r="G32" s="189">
        <v>200000</v>
      </c>
      <c r="H32" s="189">
        <v>200000</v>
      </c>
      <c r="I32" s="189">
        <v>200000</v>
      </c>
      <c r="J32" s="189">
        <v>200000</v>
      </c>
      <c r="K32" s="189">
        <v>200000</v>
      </c>
      <c r="L32" s="189">
        <v>200000</v>
      </c>
      <c r="M32" s="189">
        <v>200000</v>
      </c>
      <c r="N32" s="189">
        <v>200000</v>
      </c>
      <c r="O32" s="188">
        <f t="shared" si="8"/>
        <v>2400000</v>
      </c>
    </row>
    <row r="33" spans="2:15" ht="12.75" customHeight="1" x14ac:dyDescent="0.2">
      <c r="B33" s="186" t="s">
        <v>128</v>
      </c>
      <c r="C33" s="189">
        <f t="shared" ref="C33:N33" si="9">(C31+C32)*0.2</f>
        <v>340000</v>
      </c>
      <c r="D33" s="189">
        <f t="shared" si="9"/>
        <v>340000</v>
      </c>
      <c r="E33" s="189">
        <f t="shared" si="9"/>
        <v>340000</v>
      </c>
      <c r="F33" s="189">
        <f t="shared" si="9"/>
        <v>340000</v>
      </c>
      <c r="G33" s="189">
        <f t="shared" si="9"/>
        <v>340000</v>
      </c>
      <c r="H33" s="189">
        <f t="shared" si="9"/>
        <v>340000</v>
      </c>
      <c r="I33" s="189">
        <f t="shared" si="9"/>
        <v>340000</v>
      </c>
      <c r="J33" s="189">
        <f t="shared" si="9"/>
        <v>340000</v>
      </c>
      <c r="K33" s="189">
        <f t="shared" si="9"/>
        <v>340000</v>
      </c>
      <c r="L33" s="189">
        <f t="shared" si="9"/>
        <v>340000</v>
      </c>
      <c r="M33" s="189">
        <f t="shared" si="9"/>
        <v>340000</v>
      </c>
      <c r="N33" s="189">
        <f t="shared" si="9"/>
        <v>340000</v>
      </c>
      <c r="O33" s="188">
        <f t="shared" si="8"/>
        <v>4080000</v>
      </c>
    </row>
    <row r="34" spans="2:15" ht="12.75" customHeight="1" x14ac:dyDescent="0.2">
      <c r="B34" s="156" t="s">
        <v>138</v>
      </c>
      <c r="C34" s="189">
        <v>90000</v>
      </c>
      <c r="D34" s="189">
        <v>0</v>
      </c>
      <c r="E34" s="189">
        <v>90000</v>
      </c>
      <c r="F34" s="189">
        <v>0</v>
      </c>
      <c r="G34" s="189">
        <v>90000</v>
      </c>
      <c r="H34" s="189">
        <v>0</v>
      </c>
      <c r="I34" s="189">
        <v>90000</v>
      </c>
      <c r="J34" s="189">
        <v>0</v>
      </c>
      <c r="K34" s="189">
        <v>90000</v>
      </c>
      <c r="L34" s="189">
        <v>0</v>
      </c>
      <c r="M34" s="189">
        <v>90000</v>
      </c>
      <c r="N34" s="189">
        <v>0</v>
      </c>
      <c r="O34" s="188">
        <f t="shared" si="8"/>
        <v>540000</v>
      </c>
    </row>
    <row r="35" spans="2:15" ht="12.75" customHeight="1" x14ac:dyDescent="0.2">
      <c r="B35" s="156" t="s">
        <v>139</v>
      </c>
      <c r="C35" s="189">
        <v>150000</v>
      </c>
      <c r="D35" s="189">
        <v>150000</v>
      </c>
      <c r="E35" s="189">
        <v>150000</v>
      </c>
      <c r="F35" s="189">
        <v>150000</v>
      </c>
      <c r="G35" s="189">
        <v>150000</v>
      </c>
      <c r="H35" s="189">
        <v>150000</v>
      </c>
      <c r="I35" s="189">
        <v>150000</v>
      </c>
      <c r="J35" s="189">
        <v>150000</v>
      </c>
      <c r="K35" s="189">
        <v>150000</v>
      </c>
      <c r="L35" s="189">
        <v>150000</v>
      </c>
      <c r="M35" s="189">
        <v>150000</v>
      </c>
      <c r="N35" s="189">
        <v>150000</v>
      </c>
      <c r="O35" s="188">
        <f t="shared" si="8"/>
        <v>1800000</v>
      </c>
    </row>
    <row r="36" spans="2:15" ht="12.75" customHeight="1" x14ac:dyDescent="0.2">
      <c r="B36" s="156" t="s">
        <v>140</v>
      </c>
      <c r="C36" s="189">
        <f t="shared" ref="C36:N36" si="10">C4*0.03+800</f>
        <v>6676955</v>
      </c>
      <c r="D36" s="189">
        <f t="shared" si="10"/>
        <v>6042605</v>
      </c>
      <c r="E36" s="189">
        <f t="shared" si="10"/>
        <v>5014925</v>
      </c>
      <c r="F36" s="189">
        <f t="shared" si="10"/>
        <v>3165890</v>
      </c>
      <c r="G36" s="189">
        <f t="shared" si="10"/>
        <v>2425310</v>
      </c>
      <c r="H36" s="189">
        <f t="shared" si="10"/>
        <v>2211410</v>
      </c>
      <c r="I36" s="189">
        <f t="shared" si="10"/>
        <v>1711025</v>
      </c>
      <c r="J36" s="189">
        <f t="shared" si="10"/>
        <v>1741850</v>
      </c>
      <c r="K36" s="189">
        <f t="shared" si="10"/>
        <v>3572540</v>
      </c>
      <c r="L36" s="189">
        <f t="shared" si="10"/>
        <v>5477810</v>
      </c>
      <c r="M36" s="189">
        <f t="shared" si="10"/>
        <v>7027535</v>
      </c>
      <c r="N36" s="189">
        <f t="shared" si="10"/>
        <v>6645263</v>
      </c>
      <c r="O36" s="188">
        <f t="shared" si="8"/>
        <v>51713118</v>
      </c>
    </row>
    <row r="37" spans="2:15" ht="12.75" customHeight="1" x14ac:dyDescent="0.2">
      <c r="B37" s="156" t="s">
        <v>132</v>
      </c>
      <c r="C37" s="189">
        <v>200000</v>
      </c>
      <c r="D37" s="189">
        <v>200000</v>
      </c>
      <c r="E37" s="189">
        <v>200000</v>
      </c>
      <c r="F37" s="189">
        <v>200000</v>
      </c>
      <c r="G37" s="189">
        <v>200000</v>
      </c>
      <c r="H37" s="189">
        <v>200000</v>
      </c>
      <c r="I37" s="189">
        <v>200000</v>
      </c>
      <c r="J37" s="189">
        <v>200000</v>
      </c>
      <c r="K37" s="189">
        <v>200000</v>
      </c>
      <c r="L37" s="189">
        <v>200000</v>
      </c>
      <c r="M37" s="189">
        <v>200000</v>
      </c>
      <c r="N37" s="189">
        <v>200000</v>
      </c>
      <c r="O37" s="188">
        <f t="shared" si="8"/>
        <v>2400000</v>
      </c>
    </row>
    <row r="38" spans="2:15" ht="12.75" customHeight="1" x14ac:dyDescent="0.2">
      <c r="B38" s="156" t="s">
        <v>6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8">
        <f t="shared" si="8"/>
        <v>0</v>
      </c>
    </row>
    <row r="39" spans="2:15" ht="12.75" customHeight="1" x14ac:dyDescent="0.2">
      <c r="B39" s="156" t="s">
        <v>6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8">
        <f t="shared" si="8"/>
        <v>0</v>
      </c>
    </row>
    <row r="40" spans="2:15" ht="13.5" customHeight="1" x14ac:dyDescent="0.2">
      <c r="B40" s="163" t="s">
        <v>6</v>
      </c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8">
        <f t="shared" si="8"/>
        <v>0</v>
      </c>
    </row>
    <row r="41" spans="2:15" ht="14.25" customHeight="1" x14ac:dyDescent="0.2">
      <c r="B41" s="191" t="s">
        <v>141</v>
      </c>
      <c r="C41" s="192">
        <f t="shared" ref="C41:O41" si="11">SUM(C31:C40)</f>
        <v>9156955</v>
      </c>
      <c r="D41" s="192">
        <f t="shared" si="11"/>
        <v>8432605</v>
      </c>
      <c r="E41" s="192">
        <f t="shared" si="11"/>
        <v>7494925</v>
      </c>
      <c r="F41" s="192">
        <f t="shared" si="11"/>
        <v>5555890</v>
      </c>
      <c r="G41" s="192">
        <f t="shared" si="11"/>
        <v>4905310</v>
      </c>
      <c r="H41" s="192">
        <f t="shared" si="11"/>
        <v>4601410</v>
      </c>
      <c r="I41" s="192">
        <f t="shared" si="11"/>
        <v>4191025</v>
      </c>
      <c r="J41" s="192">
        <f t="shared" si="11"/>
        <v>4131850</v>
      </c>
      <c r="K41" s="192">
        <f t="shared" si="11"/>
        <v>6052540</v>
      </c>
      <c r="L41" s="192">
        <f t="shared" si="11"/>
        <v>7867810</v>
      </c>
      <c r="M41" s="192">
        <f t="shared" si="11"/>
        <v>9507535</v>
      </c>
      <c r="N41" s="192">
        <f t="shared" si="11"/>
        <v>9035263</v>
      </c>
      <c r="O41" s="193">
        <f t="shared" si="11"/>
        <v>80933118</v>
      </c>
    </row>
    <row r="42" spans="2:15" ht="12.75" customHeight="1" x14ac:dyDescent="0.2"/>
    <row r="43" spans="2:15" ht="13.5" customHeight="1" x14ac:dyDescent="0.2"/>
    <row r="44" spans="2:15" ht="13.5" customHeight="1" x14ac:dyDescent="0.2">
      <c r="B44" s="12" t="s">
        <v>135</v>
      </c>
      <c r="C44" s="14">
        <f>Ventas!C16</f>
        <v>2022</v>
      </c>
      <c r="D44" s="14">
        <f>Ventas!D16</f>
        <v>2023</v>
      </c>
      <c r="E44" s="14">
        <f>Ventas!E16</f>
        <v>2024</v>
      </c>
      <c r="F44" s="14">
        <f>Ventas!F16</f>
        <v>2025</v>
      </c>
      <c r="G44" s="15">
        <f>Ventas!G16</f>
        <v>2026</v>
      </c>
    </row>
    <row r="45" spans="2:15" ht="12.75" customHeight="1" x14ac:dyDescent="0.2">
      <c r="B45" s="186" t="s">
        <v>136</v>
      </c>
      <c r="C45" s="187">
        <f t="shared" ref="C45:C54" si="12">+O31</f>
        <v>18000000</v>
      </c>
      <c r="D45" s="189">
        <f t="shared" ref="D45:G45" si="13">+C45</f>
        <v>18000000</v>
      </c>
      <c r="E45" s="189">
        <f t="shared" si="13"/>
        <v>18000000</v>
      </c>
      <c r="F45" s="189">
        <f t="shared" si="13"/>
        <v>18000000</v>
      </c>
      <c r="G45" s="199">
        <f t="shared" si="13"/>
        <v>18000000</v>
      </c>
    </row>
    <row r="46" spans="2:15" ht="12.75" customHeight="1" x14ac:dyDescent="0.2">
      <c r="B46" s="186" t="s">
        <v>137</v>
      </c>
      <c r="C46" s="187">
        <f t="shared" si="12"/>
        <v>2400000</v>
      </c>
      <c r="D46" s="189">
        <f t="shared" ref="D46:G46" si="14">C46</f>
        <v>2400000</v>
      </c>
      <c r="E46" s="189">
        <f t="shared" si="14"/>
        <v>2400000</v>
      </c>
      <c r="F46" s="189">
        <f t="shared" si="14"/>
        <v>2400000</v>
      </c>
      <c r="G46" s="188">
        <f t="shared" si="14"/>
        <v>2400000</v>
      </c>
    </row>
    <row r="47" spans="2:15" ht="12.75" customHeight="1" x14ac:dyDescent="0.2">
      <c r="B47" s="186" t="s">
        <v>128</v>
      </c>
      <c r="C47" s="187">
        <f t="shared" si="12"/>
        <v>4080000</v>
      </c>
      <c r="D47" s="189">
        <f t="shared" ref="D47:G47" si="15">C47</f>
        <v>4080000</v>
      </c>
      <c r="E47" s="189">
        <f t="shared" si="15"/>
        <v>4080000</v>
      </c>
      <c r="F47" s="189">
        <f t="shared" si="15"/>
        <v>4080000</v>
      </c>
      <c r="G47" s="188">
        <f t="shared" si="15"/>
        <v>4080000</v>
      </c>
    </row>
    <row r="48" spans="2:15" ht="12.75" customHeight="1" x14ac:dyDescent="0.2">
      <c r="B48" s="156" t="str">
        <f t="shared" ref="B48:B54" si="16">B34</f>
        <v>Publicidad</v>
      </c>
      <c r="C48" s="187">
        <f t="shared" si="12"/>
        <v>540000</v>
      </c>
      <c r="D48" s="189">
        <f t="shared" ref="D48:G48" si="17">C48</f>
        <v>540000</v>
      </c>
      <c r="E48" s="189">
        <f t="shared" si="17"/>
        <v>540000</v>
      </c>
      <c r="F48" s="189">
        <f t="shared" si="17"/>
        <v>540000</v>
      </c>
      <c r="G48" s="188">
        <f t="shared" si="17"/>
        <v>540000</v>
      </c>
    </row>
    <row r="49" spans="2:7" ht="12.75" customHeight="1" x14ac:dyDescent="0.2">
      <c r="B49" s="156" t="str">
        <f t="shared" si="16"/>
        <v>Fletes</v>
      </c>
      <c r="C49" s="187">
        <f t="shared" si="12"/>
        <v>1800000</v>
      </c>
      <c r="D49" s="189">
        <f t="shared" ref="D49:G49" si="18">C49</f>
        <v>1800000</v>
      </c>
      <c r="E49" s="189">
        <f t="shared" si="18"/>
        <v>1800000</v>
      </c>
      <c r="F49" s="189">
        <f t="shared" si="18"/>
        <v>1800000</v>
      </c>
      <c r="G49" s="188">
        <f t="shared" si="18"/>
        <v>1800000</v>
      </c>
    </row>
    <row r="50" spans="2:7" ht="12.75" customHeight="1" x14ac:dyDescent="0.2">
      <c r="B50" s="156" t="str">
        <f t="shared" si="16"/>
        <v>Impuestos y tasas</v>
      </c>
      <c r="C50" s="187">
        <f t="shared" si="12"/>
        <v>51713118</v>
      </c>
      <c r="D50" s="189">
        <f t="shared" ref="D50:G50" si="19">C50</f>
        <v>51713118</v>
      </c>
      <c r="E50" s="189">
        <f t="shared" si="19"/>
        <v>51713118</v>
      </c>
      <c r="F50" s="189">
        <f t="shared" si="19"/>
        <v>51713118</v>
      </c>
      <c r="G50" s="188">
        <f t="shared" si="19"/>
        <v>51713118</v>
      </c>
    </row>
    <row r="51" spans="2:7" ht="12.75" customHeight="1" x14ac:dyDescent="0.2">
      <c r="B51" s="156" t="str">
        <f t="shared" si="16"/>
        <v>Varios</v>
      </c>
      <c r="C51" s="187">
        <f t="shared" si="12"/>
        <v>2400000</v>
      </c>
      <c r="D51" s="189">
        <f t="shared" ref="D51:G51" si="20">C51</f>
        <v>2400000</v>
      </c>
      <c r="E51" s="189">
        <f t="shared" si="20"/>
        <v>2400000</v>
      </c>
      <c r="F51" s="189">
        <f t="shared" si="20"/>
        <v>2400000</v>
      </c>
      <c r="G51" s="188">
        <f t="shared" si="20"/>
        <v>2400000</v>
      </c>
    </row>
    <row r="52" spans="2:7" ht="12.75" customHeight="1" x14ac:dyDescent="0.2">
      <c r="B52" s="156" t="str">
        <f t="shared" si="16"/>
        <v xml:space="preserve"> </v>
      </c>
      <c r="C52" s="187">
        <f t="shared" si="12"/>
        <v>0</v>
      </c>
      <c r="D52" s="189"/>
      <c r="E52" s="189"/>
      <c r="F52" s="189"/>
      <c r="G52" s="188"/>
    </row>
    <row r="53" spans="2:7" ht="12.75" customHeight="1" x14ac:dyDescent="0.2">
      <c r="B53" s="156" t="str">
        <f t="shared" si="16"/>
        <v xml:space="preserve"> </v>
      </c>
      <c r="C53" s="187">
        <f t="shared" si="12"/>
        <v>0</v>
      </c>
      <c r="D53" s="189"/>
      <c r="E53" s="189"/>
      <c r="F53" s="189"/>
      <c r="G53" s="188"/>
    </row>
    <row r="54" spans="2:7" ht="13.5" customHeight="1" x14ac:dyDescent="0.2">
      <c r="B54" s="156" t="str">
        <f t="shared" si="16"/>
        <v xml:space="preserve"> </v>
      </c>
      <c r="C54" s="187">
        <f t="shared" si="12"/>
        <v>0</v>
      </c>
      <c r="D54" s="189"/>
      <c r="E54" s="189"/>
      <c r="F54" s="189"/>
      <c r="G54" s="200"/>
    </row>
    <row r="55" spans="2:7" ht="14.25" customHeight="1" x14ac:dyDescent="0.2">
      <c r="B55" s="191" t="s">
        <v>134</v>
      </c>
      <c r="C55" s="192">
        <f t="shared" ref="C55:G55" si="21">SUM(C45:C54)</f>
        <v>80933118</v>
      </c>
      <c r="D55" s="192">
        <f t="shared" si="21"/>
        <v>80933118</v>
      </c>
      <c r="E55" s="192">
        <f t="shared" si="21"/>
        <v>80933118</v>
      </c>
      <c r="F55" s="192">
        <f t="shared" si="21"/>
        <v>80933118</v>
      </c>
      <c r="G55" s="193">
        <f t="shared" si="21"/>
        <v>80933118</v>
      </c>
    </row>
    <row r="56" spans="2:7" ht="12.75" customHeight="1" x14ac:dyDescent="0.2"/>
    <row r="57" spans="2:7" ht="12.75" customHeight="1" x14ac:dyDescent="0.2"/>
    <row r="58" spans="2:7" ht="12.75" customHeight="1" x14ac:dyDescent="0.2"/>
    <row r="59" spans="2:7" ht="12.75" customHeight="1" x14ac:dyDescent="0.2"/>
    <row r="60" spans="2:7" ht="12.75" customHeight="1" x14ac:dyDescent="0.2"/>
    <row r="61" spans="2:7" ht="12.75" customHeight="1" x14ac:dyDescent="0.2"/>
    <row r="62" spans="2:7" ht="12.75" customHeight="1" x14ac:dyDescent="0.2"/>
    <row r="63" spans="2:7" ht="12.75" customHeight="1" x14ac:dyDescent="0.2"/>
    <row r="64" spans="2: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&amp;CProyección de Gastos</oddHeader>
    <oddFooter>&amp;Rwww.emprenautas.com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00"/>
  <sheetViews>
    <sheetView workbookViewId="0"/>
  </sheetViews>
  <sheetFormatPr baseColWidth="10" defaultColWidth="12.5703125" defaultRowHeight="15" customHeight="1" x14ac:dyDescent="0.2"/>
  <cols>
    <col min="1" max="1" width="5.7109375" customWidth="1"/>
    <col min="2" max="2" width="30.7109375" customWidth="1"/>
    <col min="3" max="12" width="8.7109375" customWidth="1"/>
    <col min="13" max="14" width="10.7109375" customWidth="1"/>
    <col min="15" max="26" width="10" customWidth="1"/>
  </cols>
  <sheetData>
    <row r="1" spans="1:15" ht="20.25" customHeight="1" x14ac:dyDescent="0.3">
      <c r="A1" s="6"/>
      <c r="L1" s="7" t="str">
        <f>Productos!G1</f>
        <v>Heladería DANG</v>
      </c>
    </row>
    <row r="2" spans="1:15" ht="20.25" customHeight="1" x14ac:dyDescent="0.3">
      <c r="L2" s="7"/>
    </row>
    <row r="3" spans="1:15" ht="20.25" customHeight="1" x14ac:dyDescent="0.3">
      <c r="L3" s="7"/>
    </row>
    <row r="4" spans="1:15" ht="13.5" customHeight="1" x14ac:dyDescent="0.2"/>
    <row r="5" spans="1:15" ht="13.5" customHeight="1" x14ac:dyDescent="0.2">
      <c r="A5" s="12" t="s">
        <v>142</v>
      </c>
      <c r="B5" s="13" t="s">
        <v>101</v>
      </c>
      <c r="C5" s="14" t="str">
        <f>Ventas!C3</f>
        <v>Enero</v>
      </c>
      <c r="D5" s="14" t="str">
        <f>Ventas!D3</f>
        <v>Febrero</v>
      </c>
      <c r="E5" s="14" t="str">
        <f>Ventas!E3</f>
        <v>Marzo</v>
      </c>
      <c r="F5" s="14" t="str">
        <f>Ventas!F3</f>
        <v>Abril</v>
      </c>
      <c r="G5" s="14" t="str">
        <f>Ventas!G3</f>
        <v>Mayo</v>
      </c>
      <c r="H5" s="14" t="str">
        <f>Ventas!H3</f>
        <v>Junio</v>
      </c>
      <c r="I5" s="14" t="str">
        <f>Ventas!I3</f>
        <v>Julio</v>
      </c>
      <c r="J5" s="14" t="str">
        <f>Ventas!J3</f>
        <v>Agosto</v>
      </c>
      <c r="K5" s="14" t="str">
        <f>Ventas!K3</f>
        <v>Sept.</v>
      </c>
      <c r="L5" s="14" t="str">
        <f>Ventas!L3</f>
        <v>Oct.</v>
      </c>
      <c r="M5" s="14" t="str">
        <f>Ventas!M3</f>
        <v>Nov.</v>
      </c>
      <c r="N5" s="14" t="str">
        <f>Ventas!N3</f>
        <v>Dic.</v>
      </c>
      <c r="O5" s="155" t="s">
        <v>99</v>
      </c>
    </row>
    <row r="6" spans="1:15" ht="12.75" customHeight="1" x14ac:dyDescent="0.2">
      <c r="A6" s="170"/>
      <c r="B6" s="174" t="s">
        <v>143</v>
      </c>
      <c r="C6" s="201">
        <f>+Ventas!C40</f>
        <v>338949000</v>
      </c>
      <c r="D6" s="201">
        <f>+Ventas!D40</f>
        <v>349969000</v>
      </c>
      <c r="E6" s="201">
        <f>+Ventas!E40</f>
        <v>301599000</v>
      </c>
      <c r="F6" s="201">
        <f>+Ventas!F40</f>
        <v>344342000</v>
      </c>
      <c r="G6" s="201">
        <f>+Ventas!G40</f>
        <v>342189000</v>
      </c>
      <c r="H6" s="201">
        <f>+Ventas!H40</f>
        <v>332865000</v>
      </c>
      <c r="I6" s="201">
        <f>+Ventas!I40</f>
        <v>336041000</v>
      </c>
      <c r="J6" s="201">
        <f>+Ventas!J40</f>
        <v>312301000</v>
      </c>
      <c r="K6" s="201">
        <f>+Ventas!K40</f>
        <v>321181000</v>
      </c>
      <c r="L6" s="201">
        <f>+Ventas!L40</f>
        <v>332272000</v>
      </c>
      <c r="M6" s="201">
        <f>+Ventas!M40</f>
        <v>299937000</v>
      </c>
      <c r="N6" s="201">
        <f>+Ventas!N40</f>
        <v>331380000</v>
      </c>
      <c r="O6" s="199">
        <f>SUM(C6:N6)</f>
        <v>3943025000</v>
      </c>
    </row>
    <row r="7" spans="1:15" ht="12.75" customHeight="1" x14ac:dyDescent="0.2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202"/>
    </row>
    <row r="8" spans="1:15" ht="12.75" customHeight="1" x14ac:dyDescent="0.2">
      <c r="A8" s="203">
        <v>0.2</v>
      </c>
      <c r="B8" s="161" t="s">
        <v>144</v>
      </c>
      <c r="C8" s="204">
        <f t="shared" ref="C8:N8" si="0">+C$6*$A8</f>
        <v>67789800</v>
      </c>
      <c r="D8" s="204">
        <f t="shared" si="0"/>
        <v>69993800</v>
      </c>
      <c r="E8" s="204">
        <f t="shared" si="0"/>
        <v>60319800</v>
      </c>
      <c r="F8" s="204">
        <f t="shared" si="0"/>
        <v>68868400</v>
      </c>
      <c r="G8" s="204">
        <f t="shared" si="0"/>
        <v>68437800</v>
      </c>
      <c r="H8" s="204">
        <f t="shared" si="0"/>
        <v>66573000</v>
      </c>
      <c r="I8" s="204">
        <f t="shared" si="0"/>
        <v>67208200</v>
      </c>
      <c r="J8" s="204">
        <f t="shared" si="0"/>
        <v>62460200</v>
      </c>
      <c r="K8" s="204">
        <f t="shared" si="0"/>
        <v>64236200</v>
      </c>
      <c r="L8" s="204">
        <f t="shared" si="0"/>
        <v>66454400</v>
      </c>
      <c r="M8" s="204">
        <f t="shared" si="0"/>
        <v>59987400</v>
      </c>
      <c r="N8" s="204">
        <f t="shared" si="0"/>
        <v>66276000</v>
      </c>
      <c r="O8" s="195">
        <f t="shared" ref="O8:O14" si="1">SUM(C8:N8)</f>
        <v>788605000</v>
      </c>
    </row>
    <row r="9" spans="1:15" ht="12.75" customHeight="1" x14ac:dyDescent="0.2">
      <c r="A9" s="203">
        <v>0.3</v>
      </c>
      <c r="B9" s="161" t="s">
        <v>145</v>
      </c>
      <c r="C9" s="204"/>
      <c r="D9" s="204">
        <f t="shared" ref="D9:N9" si="2">+$A9*C$6</f>
        <v>101684700</v>
      </c>
      <c r="E9" s="204">
        <f t="shared" si="2"/>
        <v>104990700</v>
      </c>
      <c r="F9" s="204">
        <f t="shared" si="2"/>
        <v>90479700</v>
      </c>
      <c r="G9" s="204">
        <f t="shared" si="2"/>
        <v>103302600</v>
      </c>
      <c r="H9" s="204">
        <f t="shared" si="2"/>
        <v>102656700</v>
      </c>
      <c r="I9" s="204">
        <f t="shared" si="2"/>
        <v>99859500</v>
      </c>
      <c r="J9" s="204">
        <f t="shared" si="2"/>
        <v>100812300</v>
      </c>
      <c r="K9" s="204">
        <f t="shared" si="2"/>
        <v>93690300</v>
      </c>
      <c r="L9" s="204">
        <f t="shared" si="2"/>
        <v>96354300</v>
      </c>
      <c r="M9" s="204">
        <f t="shared" si="2"/>
        <v>99681600</v>
      </c>
      <c r="N9" s="204">
        <f t="shared" si="2"/>
        <v>89981100</v>
      </c>
      <c r="O9" s="195">
        <f t="shared" si="1"/>
        <v>1083493500</v>
      </c>
    </row>
    <row r="10" spans="1:15" ht="12.75" customHeight="1" x14ac:dyDescent="0.2">
      <c r="A10" s="203">
        <v>0.5</v>
      </c>
      <c r="B10" s="161" t="s">
        <v>146</v>
      </c>
      <c r="C10" s="204"/>
      <c r="D10" s="204"/>
      <c r="E10" s="204">
        <f t="shared" ref="E10:N10" si="3">+C$6*$A10</f>
        <v>169474500</v>
      </c>
      <c r="F10" s="204">
        <f t="shared" si="3"/>
        <v>174984500</v>
      </c>
      <c r="G10" s="204">
        <f t="shared" si="3"/>
        <v>150799500</v>
      </c>
      <c r="H10" s="204">
        <f t="shared" si="3"/>
        <v>172171000</v>
      </c>
      <c r="I10" s="204">
        <f t="shared" si="3"/>
        <v>171094500</v>
      </c>
      <c r="J10" s="204">
        <f t="shared" si="3"/>
        <v>166432500</v>
      </c>
      <c r="K10" s="204">
        <f t="shared" si="3"/>
        <v>168020500</v>
      </c>
      <c r="L10" s="204">
        <f t="shared" si="3"/>
        <v>156150500</v>
      </c>
      <c r="M10" s="204">
        <f t="shared" si="3"/>
        <v>160590500</v>
      </c>
      <c r="N10" s="204">
        <f t="shared" si="3"/>
        <v>166136000</v>
      </c>
      <c r="O10" s="195">
        <f t="shared" si="1"/>
        <v>1655854000</v>
      </c>
    </row>
    <row r="11" spans="1:15" ht="12.75" customHeight="1" x14ac:dyDescent="0.2">
      <c r="A11" s="203"/>
      <c r="B11" s="161" t="s">
        <v>147</v>
      </c>
      <c r="C11" s="204"/>
      <c r="D11" s="204"/>
      <c r="E11" s="204"/>
      <c r="F11" s="204">
        <f t="shared" ref="F11:N11" si="4">+C$6*$A11</f>
        <v>0</v>
      </c>
      <c r="G11" s="204">
        <f t="shared" si="4"/>
        <v>0</v>
      </c>
      <c r="H11" s="204">
        <f t="shared" si="4"/>
        <v>0</v>
      </c>
      <c r="I11" s="204">
        <f t="shared" si="4"/>
        <v>0</v>
      </c>
      <c r="J11" s="204">
        <f t="shared" si="4"/>
        <v>0</v>
      </c>
      <c r="K11" s="204">
        <f t="shared" si="4"/>
        <v>0</v>
      </c>
      <c r="L11" s="204">
        <f t="shared" si="4"/>
        <v>0</v>
      </c>
      <c r="M11" s="204">
        <f t="shared" si="4"/>
        <v>0</v>
      </c>
      <c r="N11" s="204">
        <f t="shared" si="4"/>
        <v>0</v>
      </c>
      <c r="O11" s="195">
        <f t="shared" si="1"/>
        <v>0</v>
      </c>
    </row>
    <row r="12" spans="1:15" ht="12.75" customHeight="1" x14ac:dyDescent="0.2">
      <c r="A12" s="203"/>
      <c r="B12" s="161" t="s">
        <v>148</v>
      </c>
      <c r="C12" s="204"/>
      <c r="D12" s="204"/>
      <c r="E12" s="204"/>
      <c r="F12" s="204"/>
      <c r="G12" s="204">
        <f t="shared" ref="G12:N12" si="5">C$6*$A12</f>
        <v>0</v>
      </c>
      <c r="H12" s="204">
        <f t="shared" si="5"/>
        <v>0</v>
      </c>
      <c r="I12" s="204">
        <f t="shared" si="5"/>
        <v>0</v>
      </c>
      <c r="J12" s="204">
        <f t="shared" si="5"/>
        <v>0</v>
      </c>
      <c r="K12" s="204">
        <f t="shared" si="5"/>
        <v>0</v>
      </c>
      <c r="L12" s="204">
        <f t="shared" si="5"/>
        <v>0</v>
      </c>
      <c r="M12" s="204">
        <f t="shared" si="5"/>
        <v>0</v>
      </c>
      <c r="N12" s="204">
        <f t="shared" si="5"/>
        <v>0</v>
      </c>
      <c r="O12" s="195">
        <f t="shared" si="1"/>
        <v>0</v>
      </c>
    </row>
    <row r="13" spans="1:15" ht="12.75" customHeight="1" x14ac:dyDescent="0.2">
      <c r="A13" s="203"/>
      <c r="B13" s="161" t="s">
        <v>149</v>
      </c>
      <c r="C13" s="204"/>
      <c r="D13" s="204"/>
      <c r="E13" s="204"/>
      <c r="F13" s="204"/>
      <c r="G13" s="204"/>
      <c r="H13" s="204">
        <f t="shared" ref="H13:N13" si="6">+C$6*$A13</f>
        <v>0</v>
      </c>
      <c r="I13" s="204">
        <f t="shared" si="6"/>
        <v>0</v>
      </c>
      <c r="J13" s="204">
        <f t="shared" si="6"/>
        <v>0</v>
      </c>
      <c r="K13" s="204">
        <f t="shared" si="6"/>
        <v>0</v>
      </c>
      <c r="L13" s="204">
        <f t="shared" si="6"/>
        <v>0</v>
      </c>
      <c r="M13" s="204">
        <f t="shared" si="6"/>
        <v>0</v>
      </c>
      <c r="N13" s="204">
        <f t="shared" si="6"/>
        <v>0</v>
      </c>
      <c r="O13" s="195">
        <f t="shared" si="1"/>
        <v>0</v>
      </c>
    </row>
    <row r="14" spans="1:15" ht="13.5" customHeight="1" x14ac:dyDescent="0.2">
      <c r="A14" s="205"/>
      <c r="B14" s="164" t="s">
        <v>150</v>
      </c>
      <c r="C14" s="197"/>
      <c r="D14" s="197"/>
      <c r="E14" s="197"/>
      <c r="F14" s="197"/>
      <c r="G14" s="197"/>
      <c r="H14" s="197"/>
      <c r="I14" s="197">
        <f t="shared" ref="I14:N14" si="7">+C$6*$A14</f>
        <v>0</v>
      </c>
      <c r="J14" s="197">
        <f t="shared" si="7"/>
        <v>0</v>
      </c>
      <c r="K14" s="197">
        <f t="shared" si="7"/>
        <v>0</v>
      </c>
      <c r="L14" s="197">
        <f t="shared" si="7"/>
        <v>0</v>
      </c>
      <c r="M14" s="197">
        <f t="shared" si="7"/>
        <v>0</v>
      </c>
      <c r="N14" s="197">
        <f t="shared" si="7"/>
        <v>0</v>
      </c>
      <c r="O14" s="198">
        <f t="shared" si="1"/>
        <v>0</v>
      </c>
    </row>
    <row r="15" spans="1:15" ht="14.25" customHeight="1" x14ac:dyDescent="0.2">
      <c r="A15" s="206">
        <f>SUM(A8:A14)</f>
        <v>1</v>
      </c>
      <c r="B15" s="26" t="s">
        <v>99</v>
      </c>
      <c r="C15" s="207">
        <f t="shared" ref="C15:O15" si="8">SUM(C8:C14)</f>
        <v>67789800</v>
      </c>
      <c r="D15" s="207">
        <f t="shared" si="8"/>
        <v>171678500</v>
      </c>
      <c r="E15" s="207">
        <f t="shared" si="8"/>
        <v>334785000</v>
      </c>
      <c r="F15" s="207">
        <f t="shared" si="8"/>
        <v>334332600</v>
      </c>
      <c r="G15" s="207">
        <f t="shared" si="8"/>
        <v>322539900</v>
      </c>
      <c r="H15" s="207">
        <f t="shared" si="8"/>
        <v>341400700</v>
      </c>
      <c r="I15" s="207">
        <f t="shared" si="8"/>
        <v>338162200</v>
      </c>
      <c r="J15" s="207">
        <f t="shared" si="8"/>
        <v>329705000</v>
      </c>
      <c r="K15" s="207">
        <f t="shared" si="8"/>
        <v>325947000</v>
      </c>
      <c r="L15" s="207">
        <f t="shared" si="8"/>
        <v>318959200</v>
      </c>
      <c r="M15" s="207">
        <f t="shared" si="8"/>
        <v>320259500</v>
      </c>
      <c r="N15" s="207">
        <f t="shared" si="8"/>
        <v>322393100</v>
      </c>
      <c r="O15" s="208">
        <f t="shared" si="8"/>
        <v>3527952500</v>
      </c>
    </row>
    <row r="16" spans="1:15" ht="12.75" customHeight="1" x14ac:dyDescent="0.2">
      <c r="M16" s="209"/>
      <c r="N16" s="210"/>
      <c r="O16" s="211"/>
    </row>
    <row r="17" spans="13:15" ht="12.75" customHeight="1" x14ac:dyDescent="0.2">
      <c r="M17" s="212" t="s">
        <v>151</v>
      </c>
      <c r="N17" s="6"/>
      <c r="O17" s="213">
        <f>+O6-O15</f>
        <v>415072500</v>
      </c>
    </row>
    <row r="18" spans="13:15" ht="13.5" customHeight="1" x14ac:dyDescent="0.2">
      <c r="M18" s="214"/>
      <c r="N18" s="154"/>
      <c r="O18" s="215">
        <f>O17/O6</f>
        <v>0.10526752937148509</v>
      </c>
    </row>
    <row r="19" spans="13:15" ht="12.75" customHeight="1" x14ac:dyDescent="0.2"/>
    <row r="20" spans="13:15" ht="12.75" customHeight="1" x14ac:dyDescent="0.2"/>
    <row r="21" spans="13:15" ht="12.75" customHeight="1" x14ac:dyDescent="0.2"/>
    <row r="22" spans="13:15" ht="12.75" customHeight="1" x14ac:dyDescent="0.2"/>
    <row r="23" spans="13:15" ht="12.75" customHeight="1" x14ac:dyDescent="0.2"/>
    <row r="24" spans="13:15" ht="12.75" customHeight="1" x14ac:dyDescent="0.2"/>
    <row r="25" spans="13:15" ht="12.75" customHeight="1" x14ac:dyDescent="0.2"/>
    <row r="26" spans="13:15" ht="12.75" customHeight="1" x14ac:dyDescent="0.2"/>
    <row r="27" spans="13:15" ht="12.75" customHeight="1" x14ac:dyDescent="0.2"/>
    <row r="28" spans="13:15" ht="12.75" customHeight="1" x14ac:dyDescent="0.2"/>
    <row r="29" spans="13:15" ht="12.75" customHeight="1" x14ac:dyDescent="0.2"/>
    <row r="30" spans="13:15" ht="12.75" customHeight="1" x14ac:dyDescent="0.2"/>
    <row r="31" spans="13:15" ht="12.75" customHeight="1" x14ac:dyDescent="0.2"/>
    <row r="32" spans="13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headerFooter>
    <oddHeader>&amp;CProyección de Cobranzas</oddHeader>
    <oddFooter>&amp;Rwww.emprenautas.com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M.FLUJO CAJA</vt:lpstr>
      <vt:lpstr>Introducción</vt:lpstr>
      <vt:lpstr>Productos</vt:lpstr>
      <vt:lpstr>Ventas</vt:lpstr>
      <vt:lpstr>Produccion</vt:lpstr>
      <vt:lpstr>Compras</vt:lpstr>
      <vt:lpstr>Consumos</vt:lpstr>
      <vt:lpstr>Gastos</vt:lpstr>
      <vt:lpstr>Cobranzas</vt:lpstr>
      <vt:lpstr>Pagos</vt:lpstr>
      <vt:lpstr>Inversiones</vt:lpstr>
      <vt:lpstr>PRESTAMO</vt:lpstr>
      <vt:lpstr>Resultado</vt:lpstr>
      <vt:lpstr>Equilibrio</vt:lpstr>
      <vt:lpstr>Flujo</vt:lpstr>
      <vt:lpstr>5_años</vt:lpstr>
      <vt:lpstr>Evaluacion</vt:lpstr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Martinez</dc:creator>
  <cp:lastModifiedBy>DESK</cp:lastModifiedBy>
  <dcterms:created xsi:type="dcterms:W3CDTF">2022-08-15T01:59:28Z</dcterms:created>
  <dcterms:modified xsi:type="dcterms:W3CDTF">2022-08-15T02:04:41Z</dcterms:modified>
</cp:coreProperties>
</file>